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Poladbt\Downloads\"/>
    </mc:Choice>
  </mc:AlternateContent>
  <xr:revisionPtr revIDLastSave="0" documentId="13_ncr:1_{C62362B7-048C-4194-98DD-D862CDC1C46F}" xr6:coauthVersionLast="47" xr6:coauthVersionMax="47" xr10:uidLastSave="{00000000-0000-0000-0000-000000000000}"/>
  <bookViews>
    <workbookView xWindow="-108" yWindow="-108" windowWidth="23256" windowHeight="12576" tabRatio="760" xr2:uid="{00000000-000D-0000-FFFF-FFFF00000000}"/>
  </bookViews>
  <sheets>
    <sheet name="Equity" sheetId="35" r:id="rId1"/>
    <sheet name="Fixed Income" sheetId="38" r:id="rId2"/>
    <sheet name="Hybrid" sheetId="37" r:id="rId3"/>
    <sheet name="ETF &amp; Onshore FOF" sheetId="39" r:id="rId4"/>
    <sheet name="Fixed Maturity Plans" sheetId="36" r:id="rId5"/>
    <sheet name="Overseas FOF" sheetId="40"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5" i="40" l="1"/>
  <c r="J35" i="40"/>
  <c r="E35" i="40"/>
  <c r="O32" i="40"/>
  <c r="N32" i="40"/>
  <c r="M32" i="40"/>
  <c r="J32" i="40"/>
  <c r="I32" i="40"/>
  <c r="H32" i="40"/>
  <c r="E32" i="40"/>
  <c r="D32" i="40"/>
  <c r="C32" i="40"/>
  <c r="O31" i="40"/>
  <c r="N31" i="40"/>
  <c r="L31" i="40"/>
  <c r="J31" i="40"/>
  <c r="I31" i="40"/>
  <c r="G31" i="40"/>
  <c r="E31" i="40"/>
  <c r="D31" i="40"/>
  <c r="B31" i="40"/>
  <c r="J29" i="40"/>
  <c r="I29" i="40"/>
  <c r="H29" i="40"/>
  <c r="G29" i="40"/>
  <c r="E29" i="40"/>
  <c r="D29" i="40"/>
  <c r="C29" i="40"/>
  <c r="B29" i="40"/>
  <c r="J28" i="40"/>
  <c r="I28" i="40"/>
  <c r="H28" i="40"/>
  <c r="G28" i="40"/>
  <c r="E28" i="40"/>
  <c r="D28" i="40"/>
  <c r="C28" i="40"/>
  <c r="B28" i="40"/>
  <c r="J27" i="40"/>
  <c r="I27" i="40"/>
  <c r="H27" i="40"/>
  <c r="G27" i="40"/>
  <c r="E27" i="40"/>
  <c r="D27" i="40"/>
  <c r="C27" i="40"/>
  <c r="B27" i="40"/>
  <c r="O26" i="40"/>
  <c r="N26" i="40"/>
  <c r="M26" i="40"/>
  <c r="L26" i="40"/>
  <c r="J26" i="40"/>
  <c r="I26" i="40"/>
  <c r="H26" i="40"/>
  <c r="G26" i="40"/>
  <c r="E26" i="40"/>
  <c r="D26" i="40"/>
  <c r="C26" i="40"/>
  <c r="B26" i="40"/>
  <c r="O24" i="40"/>
  <c r="N24" i="40"/>
  <c r="M24" i="40"/>
  <c r="J24" i="40"/>
  <c r="I24" i="40"/>
  <c r="H24" i="40"/>
  <c r="E24" i="40"/>
  <c r="D24" i="40"/>
  <c r="C24" i="40"/>
  <c r="O23" i="40"/>
  <c r="N23" i="40"/>
  <c r="L23" i="40"/>
  <c r="J23" i="40"/>
  <c r="I23" i="40"/>
  <c r="G23" i="40"/>
  <c r="E23" i="40"/>
  <c r="D23" i="40"/>
  <c r="B23" i="40"/>
  <c r="J21" i="40"/>
  <c r="I21" i="40"/>
  <c r="H21" i="40"/>
  <c r="G21" i="40"/>
  <c r="E21" i="40"/>
  <c r="D21" i="40"/>
  <c r="C21" i="40"/>
  <c r="B21" i="40"/>
  <c r="J20" i="40"/>
  <c r="I20" i="40"/>
  <c r="H20" i="40"/>
  <c r="G20" i="40"/>
  <c r="E20" i="40"/>
  <c r="D20" i="40"/>
  <c r="C20" i="40"/>
  <c r="B20" i="40"/>
  <c r="J19" i="40"/>
  <c r="I19" i="40"/>
  <c r="H19" i="40"/>
  <c r="G19" i="40"/>
  <c r="E19" i="40"/>
  <c r="D19" i="40"/>
  <c r="C19" i="40"/>
  <c r="B19" i="40"/>
  <c r="O18" i="40"/>
  <c r="N18" i="40"/>
  <c r="M18" i="40"/>
  <c r="L18" i="40"/>
  <c r="J18" i="40"/>
  <c r="I18" i="40"/>
  <c r="H18" i="40"/>
  <c r="G18" i="40"/>
  <c r="E18" i="40"/>
  <c r="D18" i="40"/>
  <c r="C18" i="40"/>
  <c r="B18" i="40"/>
  <c r="M44" i="39"/>
  <c r="H44" i="39"/>
  <c r="D44" i="39"/>
  <c r="L31" i="39"/>
  <c r="K31" i="39"/>
  <c r="L30" i="39"/>
  <c r="J30" i="39"/>
  <c r="G30" i="39"/>
  <c r="F30" i="39"/>
  <c r="D30" i="39"/>
  <c r="C30" i="39"/>
  <c r="B30" i="39"/>
  <c r="L29" i="39"/>
  <c r="J29" i="39"/>
  <c r="G29" i="39"/>
  <c r="F29" i="39"/>
  <c r="D29" i="39"/>
  <c r="C29" i="39"/>
  <c r="B29" i="39"/>
  <c r="L28" i="39"/>
  <c r="K28" i="39"/>
  <c r="J28" i="39"/>
  <c r="G28" i="39"/>
  <c r="F28" i="39"/>
  <c r="D28" i="39"/>
  <c r="C28" i="39"/>
  <c r="B28" i="39"/>
  <c r="L27" i="39"/>
  <c r="K27" i="39"/>
  <c r="J27" i="39"/>
  <c r="G27" i="39"/>
  <c r="F27" i="39"/>
  <c r="D27" i="39"/>
  <c r="C27" i="39"/>
  <c r="B27" i="39"/>
  <c r="L26" i="39"/>
  <c r="K26" i="39"/>
  <c r="J26" i="39"/>
  <c r="G26" i="39"/>
  <c r="F26" i="39"/>
  <c r="D26" i="39"/>
  <c r="C26" i="39"/>
  <c r="B26" i="39"/>
  <c r="L25" i="39"/>
  <c r="K25" i="39"/>
  <c r="J25" i="39"/>
  <c r="G25" i="39"/>
  <c r="F25" i="39"/>
  <c r="D25" i="39"/>
  <c r="C25" i="39"/>
  <c r="B25" i="39"/>
  <c r="L23" i="39"/>
  <c r="K23" i="39"/>
  <c r="L22" i="39"/>
  <c r="J22" i="39"/>
  <c r="G22" i="39"/>
  <c r="F22" i="39"/>
  <c r="D22" i="39"/>
  <c r="C22" i="39"/>
  <c r="B22" i="39"/>
  <c r="L21" i="39"/>
  <c r="J21" i="39"/>
  <c r="G21" i="39"/>
  <c r="F21" i="39"/>
  <c r="D21" i="39"/>
  <c r="C21" i="39"/>
  <c r="B21" i="39"/>
  <c r="L20" i="39"/>
  <c r="K20" i="39"/>
  <c r="J20" i="39"/>
  <c r="G20" i="39"/>
  <c r="F20" i="39"/>
  <c r="D20" i="39"/>
  <c r="C20" i="39"/>
  <c r="B20" i="39"/>
  <c r="L19" i="39"/>
  <c r="K19" i="39"/>
  <c r="J19" i="39"/>
  <c r="G19" i="39"/>
  <c r="F19" i="39"/>
  <c r="D19" i="39"/>
  <c r="C19" i="39"/>
  <c r="B19" i="39"/>
  <c r="L18" i="39"/>
  <c r="K18" i="39"/>
  <c r="J18" i="39"/>
  <c r="G18" i="39"/>
  <c r="F18" i="39"/>
  <c r="D18" i="39"/>
  <c r="C18" i="39"/>
  <c r="B18" i="39"/>
  <c r="L17" i="39"/>
  <c r="K17" i="39"/>
  <c r="J17" i="39"/>
  <c r="G17" i="39"/>
  <c r="F17" i="39"/>
  <c r="D17" i="39"/>
  <c r="C17" i="39"/>
  <c r="B17" i="39"/>
  <c r="BC44" i="38"/>
  <c r="AX44" i="38"/>
  <c r="AS44" i="38"/>
  <c r="AN44" i="38"/>
  <c r="AI44" i="38"/>
  <c r="AD44" i="38"/>
  <c r="Y44" i="38"/>
  <c r="T44" i="38"/>
  <c r="O44" i="38"/>
  <c r="J44" i="38"/>
  <c r="E44" i="38"/>
  <c r="BC31" i="38"/>
  <c r="BB31" i="38"/>
  <c r="BA31" i="38"/>
  <c r="AX31" i="38"/>
  <c r="AW31" i="38"/>
  <c r="AV31" i="38"/>
  <c r="AS31" i="38"/>
  <c r="AR31" i="38"/>
  <c r="AQ31" i="38"/>
  <c r="AN31" i="38"/>
  <c r="AM31" i="38"/>
  <c r="AL31" i="38"/>
  <c r="AI31" i="38"/>
  <c r="AH31" i="38"/>
  <c r="AG31" i="38"/>
  <c r="AD31" i="38"/>
  <c r="AC31" i="38"/>
  <c r="AB31" i="38"/>
  <c r="Y31" i="38"/>
  <c r="X31" i="38"/>
  <c r="W31" i="38"/>
  <c r="T31" i="38"/>
  <c r="S31" i="38"/>
  <c r="R31" i="38"/>
  <c r="O31" i="38"/>
  <c r="N31" i="38"/>
  <c r="M31" i="38"/>
  <c r="J31" i="38"/>
  <c r="I31" i="38"/>
  <c r="H31" i="38"/>
  <c r="E31" i="38"/>
  <c r="D31" i="38"/>
  <c r="C31" i="38"/>
  <c r="BC30" i="38"/>
  <c r="BB30" i="38"/>
  <c r="AZ30" i="38"/>
  <c r="AX30" i="38"/>
  <c r="AW30" i="38"/>
  <c r="AU30" i="38"/>
  <c r="AS30" i="38"/>
  <c r="AR30" i="38"/>
  <c r="AP30" i="38"/>
  <c r="AN30" i="38"/>
  <c r="AM30" i="38"/>
  <c r="AK30" i="38"/>
  <c r="AI30" i="38"/>
  <c r="AH30" i="38"/>
  <c r="AF30" i="38"/>
  <c r="AD30" i="38"/>
  <c r="AC30" i="38"/>
  <c r="AA30" i="38"/>
  <c r="Y30" i="38"/>
  <c r="X30" i="38"/>
  <c r="V30" i="38"/>
  <c r="T30" i="38"/>
  <c r="S30" i="38"/>
  <c r="Q30" i="38"/>
  <c r="O30" i="38"/>
  <c r="N30" i="38"/>
  <c r="L30" i="38"/>
  <c r="J30" i="38"/>
  <c r="I30" i="38"/>
  <c r="G30" i="38"/>
  <c r="E30" i="38"/>
  <c r="D30" i="38"/>
  <c r="B30" i="38"/>
  <c r="AN29" i="38"/>
  <c r="AM29" i="38"/>
  <c r="AK29" i="38"/>
  <c r="AI29" i="38"/>
  <c r="AH29" i="38"/>
  <c r="AF29" i="38"/>
  <c r="AD29" i="38"/>
  <c r="AC29" i="38"/>
  <c r="AA29" i="38"/>
  <c r="Y29" i="38"/>
  <c r="X29" i="38"/>
  <c r="V29" i="38"/>
  <c r="T29" i="38"/>
  <c r="S29" i="38"/>
  <c r="Q29" i="38"/>
  <c r="O29" i="38"/>
  <c r="N29" i="38"/>
  <c r="L29" i="38"/>
  <c r="E29" i="38"/>
  <c r="D29" i="38"/>
  <c r="B29" i="38"/>
  <c r="AX28" i="38"/>
  <c r="AW28" i="38"/>
  <c r="AV28" i="38"/>
  <c r="AU28" i="38"/>
  <c r="AS28" i="38"/>
  <c r="AR28" i="38"/>
  <c r="AQ28" i="38"/>
  <c r="AP28" i="38"/>
  <c r="AN28" i="38"/>
  <c r="AM28" i="38"/>
  <c r="AL28" i="38"/>
  <c r="AK28" i="38"/>
  <c r="AI28" i="38"/>
  <c r="AH28" i="38"/>
  <c r="AG28" i="38"/>
  <c r="AF28" i="38"/>
  <c r="AD28" i="38"/>
  <c r="AC28" i="38"/>
  <c r="AB28" i="38"/>
  <c r="AA28" i="38"/>
  <c r="Y28" i="38"/>
  <c r="X28" i="38"/>
  <c r="W28" i="38"/>
  <c r="V28" i="38"/>
  <c r="T28" i="38"/>
  <c r="S28" i="38"/>
  <c r="R28" i="38"/>
  <c r="Q28" i="38"/>
  <c r="O28" i="38"/>
  <c r="N28" i="38"/>
  <c r="M28" i="38"/>
  <c r="L28" i="38"/>
  <c r="E28" i="38"/>
  <c r="D28" i="38"/>
  <c r="C28" i="38"/>
  <c r="B28" i="38"/>
  <c r="AX27" i="38"/>
  <c r="AW27" i="38"/>
  <c r="AV27" i="38"/>
  <c r="AU27" i="38"/>
  <c r="AS27" i="38"/>
  <c r="AR27" i="38"/>
  <c r="AQ27" i="38"/>
  <c r="AP27" i="38"/>
  <c r="AN27" i="38"/>
  <c r="AM27" i="38"/>
  <c r="AL27" i="38"/>
  <c r="AK27" i="38"/>
  <c r="AI27" i="38"/>
  <c r="AH27" i="38"/>
  <c r="AG27" i="38"/>
  <c r="AF27" i="38"/>
  <c r="AD27" i="38"/>
  <c r="AC27" i="38"/>
  <c r="AB27" i="38"/>
  <c r="AA27" i="38"/>
  <c r="Y27" i="38"/>
  <c r="X27" i="38"/>
  <c r="W27" i="38"/>
  <c r="V27" i="38"/>
  <c r="T27" i="38"/>
  <c r="S27" i="38"/>
  <c r="R27" i="38"/>
  <c r="Q27" i="38"/>
  <c r="O27" i="38"/>
  <c r="N27" i="38"/>
  <c r="M27" i="38"/>
  <c r="L27" i="38"/>
  <c r="E27" i="38"/>
  <c r="D27" i="38"/>
  <c r="C27" i="38"/>
  <c r="B27" i="38"/>
  <c r="AX26" i="38"/>
  <c r="AW26" i="38"/>
  <c r="AV26" i="38"/>
  <c r="AU26" i="38"/>
  <c r="AS26" i="38"/>
  <c r="AR26" i="38"/>
  <c r="AQ26" i="38"/>
  <c r="AP26" i="38"/>
  <c r="AN26" i="38"/>
  <c r="AM26" i="38"/>
  <c r="AL26" i="38"/>
  <c r="AK26" i="38"/>
  <c r="AI26" i="38"/>
  <c r="AH26" i="38"/>
  <c r="AG26" i="38"/>
  <c r="AF26" i="38"/>
  <c r="AD26" i="38"/>
  <c r="AC26" i="38"/>
  <c r="AB26" i="38"/>
  <c r="AA26" i="38"/>
  <c r="Y26" i="38"/>
  <c r="X26" i="38"/>
  <c r="W26" i="38"/>
  <c r="V26" i="38"/>
  <c r="T26" i="38"/>
  <c r="S26" i="38"/>
  <c r="R26" i="38"/>
  <c r="Q26" i="38"/>
  <c r="O26" i="38"/>
  <c r="N26" i="38"/>
  <c r="M26" i="38"/>
  <c r="L26" i="38"/>
  <c r="E26" i="38"/>
  <c r="D26" i="38"/>
  <c r="C26" i="38"/>
  <c r="B26" i="38"/>
  <c r="AX25" i="38"/>
  <c r="AW25" i="38"/>
  <c r="AV25" i="38"/>
  <c r="AU25" i="38"/>
  <c r="AS25" i="38"/>
  <c r="AR25" i="38"/>
  <c r="AQ25" i="38"/>
  <c r="AP25" i="38"/>
  <c r="AN25" i="38"/>
  <c r="AM25" i="38"/>
  <c r="AL25" i="38"/>
  <c r="AK25" i="38"/>
  <c r="AI25" i="38"/>
  <c r="AH25" i="38"/>
  <c r="AG25" i="38"/>
  <c r="AF25" i="38"/>
  <c r="AD25" i="38"/>
  <c r="AC25" i="38"/>
  <c r="AB25" i="38"/>
  <c r="AA25" i="38"/>
  <c r="Y25" i="38"/>
  <c r="X25" i="38"/>
  <c r="W25" i="38"/>
  <c r="V25" i="38"/>
  <c r="T25" i="38"/>
  <c r="S25" i="38"/>
  <c r="R25" i="38"/>
  <c r="Q25" i="38"/>
  <c r="O25" i="38"/>
  <c r="N25" i="38"/>
  <c r="M25" i="38"/>
  <c r="L25" i="38"/>
  <c r="J25" i="38"/>
  <c r="I25" i="38"/>
  <c r="H25" i="38"/>
  <c r="G25" i="38"/>
  <c r="E25" i="38"/>
  <c r="D25" i="38"/>
  <c r="C25" i="38"/>
  <c r="B25" i="38"/>
  <c r="BC23" i="38"/>
  <c r="BB23" i="38"/>
  <c r="BA23" i="38"/>
  <c r="AX23" i="38"/>
  <c r="AW23" i="38"/>
  <c r="AV23" i="38"/>
  <c r="AS23" i="38"/>
  <c r="AR23" i="38"/>
  <c r="AQ23" i="38"/>
  <c r="AN23" i="38"/>
  <c r="AM23" i="38"/>
  <c r="AL23" i="38"/>
  <c r="AI23" i="38"/>
  <c r="AH23" i="38"/>
  <c r="AG23" i="38"/>
  <c r="AD23" i="38"/>
  <c r="AC23" i="38"/>
  <c r="AB23" i="38"/>
  <c r="Y23" i="38"/>
  <c r="X23" i="38"/>
  <c r="W23" i="38"/>
  <c r="T23" i="38"/>
  <c r="S23" i="38"/>
  <c r="R23" i="38"/>
  <c r="O23" i="38"/>
  <c r="N23" i="38"/>
  <c r="M23" i="38"/>
  <c r="J23" i="38"/>
  <c r="I23" i="38"/>
  <c r="H23" i="38"/>
  <c r="E23" i="38"/>
  <c r="D23" i="38"/>
  <c r="C23" i="38"/>
  <c r="BC22" i="38"/>
  <c r="BB22" i="38"/>
  <c r="AZ22" i="38"/>
  <c r="AX22" i="38"/>
  <c r="AW22" i="38"/>
  <c r="AU22" i="38"/>
  <c r="AS22" i="38"/>
  <c r="AR22" i="38"/>
  <c r="AP22" i="38"/>
  <c r="AN22" i="38"/>
  <c r="AM22" i="38"/>
  <c r="AK22" i="38"/>
  <c r="AI22" i="38"/>
  <c r="AH22" i="38"/>
  <c r="AF22" i="38"/>
  <c r="AD22" i="38"/>
  <c r="AC22" i="38"/>
  <c r="AA22" i="38"/>
  <c r="Y22" i="38"/>
  <c r="X22" i="38"/>
  <c r="V22" i="38"/>
  <c r="T22" i="38"/>
  <c r="S22" i="38"/>
  <c r="Q22" i="38"/>
  <c r="O22" i="38"/>
  <c r="N22" i="38"/>
  <c r="L22" i="38"/>
  <c r="J22" i="38"/>
  <c r="I22" i="38"/>
  <c r="G22" i="38"/>
  <c r="E22" i="38"/>
  <c r="D22" i="38"/>
  <c r="B22" i="38"/>
  <c r="AN21" i="38"/>
  <c r="AM21" i="38"/>
  <c r="AK21" i="38"/>
  <c r="AI21" i="38"/>
  <c r="AH21" i="38"/>
  <c r="AF21" i="38"/>
  <c r="AD21" i="38"/>
  <c r="AC21" i="38"/>
  <c r="AA21" i="38"/>
  <c r="Y21" i="38"/>
  <c r="X21" i="38"/>
  <c r="V21" i="38"/>
  <c r="T21" i="38"/>
  <c r="S21" i="38"/>
  <c r="Q21" i="38"/>
  <c r="O21" i="38"/>
  <c r="N21" i="38"/>
  <c r="L21" i="38"/>
  <c r="E21" i="38"/>
  <c r="D21" i="38"/>
  <c r="B21" i="38"/>
  <c r="AX20" i="38"/>
  <c r="AW20" i="38"/>
  <c r="AV20" i="38"/>
  <c r="AU20" i="38"/>
  <c r="AS20" i="38"/>
  <c r="AR20" i="38"/>
  <c r="AQ20" i="38"/>
  <c r="AP20" i="38"/>
  <c r="AN20" i="38"/>
  <c r="AM20" i="38"/>
  <c r="AL20" i="38"/>
  <c r="AK20" i="38"/>
  <c r="AI20" i="38"/>
  <c r="AH20" i="38"/>
  <c r="AG20" i="38"/>
  <c r="AF20" i="38"/>
  <c r="AD20" i="38"/>
  <c r="AC20" i="38"/>
  <c r="AB20" i="38"/>
  <c r="AA20" i="38"/>
  <c r="Y20" i="38"/>
  <c r="X20" i="38"/>
  <c r="W20" i="38"/>
  <c r="V20" i="38"/>
  <c r="T20" i="38"/>
  <c r="S20" i="38"/>
  <c r="R20" i="38"/>
  <c r="Q20" i="38"/>
  <c r="O20" i="38"/>
  <c r="N20" i="38"/>
  <c r="M20" i="38"/>
  <c r="L20" i="38"/>
  <c r="E20" i="38"/>
  <c r="D20" i="38"/>
  <c r="C20" i="38"/>
  <c r="B20" i="38"/>
  <c r="AX19" i="38"/>
  <c r="AW19" i="38"/>
  <c r="AV19" i="38"/>
  <c r="AU19" i="38"/>
  <c r="AS19" i="38"/>
  <c r="AR19" i="38"/>
  <c r="AQ19" i="38"/>
  <c r="AP19" i="38"/>
  <c r="AN19" i="38"/>
  <c r="AM19" i="38"/>
  <c r="AL19" i="38"/>
  <c r="AK19" i="38"/>
  <c r="AI19" i="38"/>
  <c r="AH19" i="38"/>
  <c r="AG19" i="38"/>
  <c r="AF19" i="38"/>
  <c r="AD19" i="38"/>
  <c r="AC19" i="38"/>
  <c r="AB19" i="38"/>
  <c r="AA19" i="38"/>
  <c r="Y19" i="38"/>
  <c r="X19" i="38"/>
  <c r="W19" i="38"/>
  <c r="V19" i="38"/>
  <c r="T19" i="38"/>
  <c r="S19" i="38"/>
  <c r="R19" i="38"/>
  <c r="Q19" i="38"/>
  <c r="O19" i="38"/>
  <c r="N19" i="38"/>
  <c r="M19" i="38"/>
  <c r="L19" i="38"/>
  <c r="E19" i="38"/>
  <c r="D19" i="38"/>
  <c r="C19" i="38"/>
  <c r="B19" i="38"/>
  <c r="AX18" i="38"/>
  <c r="AW18" i="38"/>
  <c r="AV18" i="38"/>
  <c r="AU18" i="38"/>
  <c r="AS18" i="38"/>
  <c r="AR18" i="38"/>
  <c r="AQ18" i="38"/>
  <c r="AP18" i="38"/>
  <c r="AN18" i="38"/>
  <c r="AM18" i="38"/>
  <c r="AL18" i="38"/>
  <c r="AK18" i="38"/>
  <c r="AI18" i="38"/>
  <c r="AH18" i="38"/>
  <c r="AG18" i="38"/>
  <c r="AF18" i="38"/>
  <c r="AD18" i="38"/>
  <c r="AC18" i="38"/>
  <c r="AB18" i="38"/>
  <c r="AA18" i="38"/>
  <c r="Y18" i="38"/>
  <c r="X18" i="38"/>
  <c r="W18" i="38"/>
  <c r="V18" i="38"/>
  <c r="T18" i="38"/>
  <c r="S18" i="38"/>
  <c r="R18" i="38"/>
  <c r="Q18" i="38"/>
  <c r="O18" i="38"/>
  <c r="N18" i="38"/>
  <c r="M18" i="38"/>
  <c r="L18" i="38"/>
  <c r="E18" i="38"/>
  <c r="D18" i="38"/>
  <c r="C18" i="38"/>
  <c r="B18" i="38"/>
  <c r="AX17" i="38"/>
  <c r="AW17" i="38"/>
  <c r="AV17" i="38"/>
  <c r="AU17" i="38"/>
  <c r="AS17" i="38"/>
  <c r="AR17" i="38"/>
  <c r="AQ17" i="38"/>
  <c r="AP17" i="38"/>
  <c r="AN17" i="38"/>
  <c r="AM17" i="38"/>
  <c r="AL17" i="38"/>
  <c r="AK17" i="38"/>
  <c r="AI17" i="38"/>
  <c r="AH17" i="38"/>
  <c r="AG17" i="38"/>
  <c r="AF17" i="38"/>
  <c r="AD17" i="38"/>
  <c r="AC17" i="38"/>
  <c r="AB17" i="38"/>
  <c r="AA17" i="38"/>
  <c r="Y17" i="38"/>
  <c r="X17" i="38"/>
  <c r="W17" i="38"/>
  <c r="V17" i="38"/>
  <c r="T17" i="38"/>
  <c r="S17" i="38"/>
  <c r="R17" i="38"/>
  <c r="Q17" i="38"/>
  <c r="O17" i="38"/>
  <c r="N17" i="38"/>
  <c r="M17" i="38"/>
  <c r="L17" i="38"/>
  <c r="J17" i="38"/>
  <c r="I17" i="38"/>
  <c r="H17" i="38"/>
  <c r="G17" i="38"/>
  <c r="E17" i="38"/>
  <c r="D17" i="38"/>
  <c r="C17" i="38"/>
  <c r="B17" i="38"/>
  <c r="T44" i="37" l="1"/>
  <c r="O44" i="37"/>
  <c r="J44" i="37"/>
  <c r="E44" i="37"/>
  <c r="O38" i="36" l="1"/>
  <c r="J38" i="36"/>
  <c r="E38" i="36"/>
  <c r="BH46" i="35" l="1"/>
  <c r="BC46" i="35"/>
  <c r="AX46" i="35"/>
  <c r="AS46" i="35"/>
  <c r="AN46" i="35"/>
  <c r="AI46" i="35"/>
  <c r="AD46" i="35"/>
  <c r="Y46" i="35"/>
  <c r="T46" i="35"/>
  <c r="O46" i="35"/>
  <c r="J46" i="35"/>
  <c r="E46" i="35"/>
</calcChain>
</file>

<file path=xl/sharedStrings.xml><?xml version="1.0" encoding="utf-8"?>
<sst xmlns="http://schemas.openxmlformats.org/spreadsheetml/2006/main" count="2186" uniqueCount="477">
  <si>
    <t>Direct Plan</t>
  </si>
  <si>
    <t>Type of the Scheme</t>
  </si>
  <si>
    <t>Benchmark</t>
  </si>
  <si>
    <t xml:space="preserve">Fund Manager </t>
  </si>
  <si>
    <t>1 Year</t>
  </si>
  <si>
    <t>Total</t>
  </si>
  <si>
    <t xml:space="preserve"> - Direct</t>
  </si>
  <si>
    <t>Notes</t>
  </si>
  <si>
    <r>
      <t xml:space="preserve">1. </t>
    </r>
    <r>
      <rPr>
        <vertAlign val="superscript"/>
        <sz val="11"/>
        <rFont val="Calibri"/>
        <family val="2"/>
        <scheme val="minor"/>
      </rPr>
      <t>1</t>
    </r>
    <r>
      <rPr>
        <sz val="11"/>
        <rFont val="Calibri"/>
        <family val="2"/>
        <scheme val="minor"/>
      </rPr>
      <t>Additional Benchmark</t>
    </r>
  </si>
  <si>
    <t>Regular/Existing Plan</t>
  </si>
  <si>
    <t>% of Net Assets</t>
  </si>
  <si>
    <t>Product Dashboard</t>
  </si>
  <si>
    <t>Top Holdings</t>
  </si>
  <si>
    <t>Name of Scheme</t>
  </si>
  <si>
    <t>Maturity Date</t>
  </si>
  <si>
    <t>Inception Date</t>
  </si>
  <si>
    <t>3 Years</t>
  </si>
  <si>
    <t>5 Years</t>
  </si>
  <si>
    <t>7 Years</t>
  </si>
  <si>
    <t>10 Years</t>
  </si>
  <si>
    <t>Returns % (CAGR)</t>
  </si>
  <si>
    <t>Value of Rs.10,000/- invested</t>
  </si>
  <si>
    <t>Since Inception (Regular/Existing Plan)</t>
  </si>
  <si>
    <t>Since Inception (Direct Plan)</t>
  </si>
  <si>
    <t xml:space="preserve"> - Regular/Existing Plan</t>
  </si>
  <si>
    <t>Sector</t>
  </si>
  <si>
    <t>Investment Objective</t>
  </si>
  <si>
    <t>Managing this fund Since</t>
  </si>
  <si>
    <r>
      <t xml:space="preserve">2. </t>
    </r>
    <r>
      <rPr>
        <b/>
        <sz val="11"/>
        <rFont val="Calibri"/>
        <family val="2"/>
        <scheme val="minor"/>
      </rPr>
      <t>Past performance may or may not be sustained in future.</t>
    </r>
    <r>
      <rPr>
        <sz val="11"/>
        <rFont val="Calibri"/>
        <family val="2"/>
        <scheme val="minor"/>
      </rPr>
      <t xml:space="preserve"> The performance details provided herein are of existing plan &amp; Direct plan – Growth Option. Different plans have different expense structure. For calculating returns since inception for Direct Plan, NAV as on January 1, 2013, of corresponding growth option of existing plan is considered. CAGR – Compounded Annualised Growth Rate</t>
    </r>
  </si>
  <si>
    <r>
      <t>Lumpsum Performance</t>
    </r>
    <r>
      <rPr>
        <b/>
        <vertAlign val="superscript"/>
        <sz val="11"/>
        <rFont val="Calibri"/>
        <family val="2"/>
        <scheme val="minor"/>
      </rPr>
      <t>2</t>
    </r>
  </si>
  <si>
    <r>
      <t xml:space="preserve">4. </t>
    </r>
    <r>
      <rPr>
        <vertAlign val="superscript"/>
        <sz val="11"/>
        <rFont val="Calibri"/>
        <family val="2"/>
        <scheme val="minor"/>
      </rPr>
      <t>2</t>
    </r>
    <r>
      <rPr>
        <sz val="11"/>
        <rFont val="Calibri"/>
        <family val="2"/>
        <scheme val="minor"/>
      </rPr>
      <t>Kindly also visit our website www.invescomutualfund.com for latest available performance</t>
    </r>
  </si>
  <si>
    <t>5. Benchmark Returns are calculated using Total Return variant of respective Benchmark Index</t>
  </si>
  <si>
    <t>3. Returns are given only in respect of schemes which have completed 6 months. For calculating returns since inception for open ended equity schemes NAV as on the date of allotment is taken as Rs. 10/. Since inception date is deemed to be date of allotment. Face value is Rs. 10</t>
  </si>
  <si>
    <t>6 months</t>
  </si>
  <si>
    <t>Returns % (Simple Annualised)</t>
  </si>
  <si>
    <t>Returns %</t>
  </si>
  <si>
    <t>6. Scheme which has been in existence for more than six months but less than one year, then simple annualized growth rate of the scheme for the past 6 months has been provided. NA: Not applicable</t>
  </si>
  <si>
    <r>
      <rPr>
        <b/>
        <sz val="11"/>
        <rFont val="Calibri"/>
        <family val="2"/>
        <scheme val="minor"/>
      </rPr>
      <t>Portfolio Details</t>
    </r>
    <r>
      <rPr>
        <u/>
        <sz val="11"/>
        <rFont val="Calibri"/>
        <family val="2"/>
        <scheme val="minor"/>
      </rPr>
      <t xml:space="preserve">
Kindly click here for the latest available portfolio</t>
    </r>
  </si>
  <si>
    <t>AuM (Rs. Crs)</t>
  </si>
  <si>
    <t>Expense Ratio</t>
  </si>
  <si>
    <t>Benchmark Riskometer</t>
  </si>
  <si>
    <r>
      <rPr>
        <b/>
        <sz val="11"/>
        <rFont val="Calibri"/>
        <family val="2"/>
        <scheme val="minor"/>
      </rPr>
      <t>Product Labelling</t>
    </r>
    <r>
      <rPr>
        <sz val="11"/>
        <rFont val="Calibri"/>
        <family val="2"/>
        <scheme val="minor"/>
      </rPr>
      <t xml:space="preserve">
Suitable for investors who are seeking* </t>
    </r>
  </si>
  <si>
    <t>* Investors should consult their financial advisers if in doubt about whether the product is suitable for them.</t>
  </si>
  <si>
    <t>PRC</t>
  </si>
  <si>
    <t>As on 31 January, 2022</t>
  </si>
  <si>
    <t>Invesco India Contra Fund</t>
  </si>
  <si>
    <t>An open ended equity scheme following contrarian investment strategy</t>
  </si>
  <si>
    <t>NA</t>
  </si>
  <si>
    <t>To generate capital appreciation by investing predominantly in Equity and Equity Related Instruments through contrarian investing.</t>
  </si>
  <si>
    <t>S&amp;P BSE 500 TRI</t>
  </si>
  <si>
    <r>
      <t>Nifty 50 TRI</t>
    </r>
    <r>
      <rPr>
        <vertAlign val="superscript"/>
        <sz val="11"/>
        <rFont val="Calibri"/>
        <family val="2"/>
        <scheme val="minor"/>
      </rPr>
      <t>1</t>
    </r>
  </si>
  <si>
    <t>Taher Badshah</t>
  </si>
  <si>
    <t>Since 13 January , 2017</t>
  </si>
  <si>
    <t>Dhimant Kothari</t>
  </si>
  <si>
    <t>Since 19 May , 2020</t>
  </si>
  <si>
    <t>ICICI Bank Ltd.</t>
  </si>
  <si>
    <t>Banks</t>
  </si>
  <si>
    <t>HDFC Bank Ltd.</t>
  </si>
  <si>
    <t>Infosys Ltd.</t>
  </si>
  <si>
    <t>Software</t>
  </si>
  <si>
    <t>State Bank of India</t>
  </si>
  <si>
    <t>Larsen &amp; Toubro Ltd.</t>
  </si>
  <si>
    <t>Construction Project</t>
  </si>
  <si>
    <t>Reliance Industries Ltd.</t>
  </si>
  <si>
    <t>PETROLEUM PRODUCTS</t>
  </si>
  <si>
    <t>Ultratech Cement Ltd.</t>
  </si>
  <si>
    <t>Cement &amp; Cement Products</t>
  </si>
  <si>
    <t>Sun Pharmaceuticals Industries Ltd.</t>
  </si>
  <si>
    <t>Pharmaceuticals</t>
  </si>
  <si>
    <t>Axis Bank Ltd.</t>
  </si>
  <si>
    <t>Tech Mahindra Ltd.</t>
  </si>
  <si>
    <t>Invesco India ESG Equity Fund</t>
  </si>
  <si>
    <t>An open ended equity scheme investing in companies following Environmental, Social and Governance (ESG) theme</t>
  </si>
  <si>
    <t>NIFTY100 ESG TRI</t>
  </si>
  <si>
    <t>Amit Nigam</t>
  </si>
  <si>
    <t>Since 26 February , 2021</t>
  </si>
  <si>
    <t>Tata Consultancy Services Ltd.</t>
  </si>
  <si>
    <t>Kotak Mahindra Bank Ltd.</t>
  </si>
  <si>
    <t>Bajaj Finance Ltd.</t>
  </si>
  <si>
    <t>Finance</t>
  </si>
  <si>
    <t>Avenue Supermarts Ltd.</t>
  </si>
  <si>
    <t>Retailing</t>
  </si>
  <si>
    <t>Titan Company Ltd.</t>
  </si>
  <si>
    <t>Consumer Durables</t>
  </si>
  <si>
    <t>Divis Laboratories Ltd.</t>
  </si>
  <si>
    <t>Invesco India Financial Services Fund</t>
  </si>
  <si>
    <t>An open ended equity scheme investing in financial services sector</t>
  </si>
  <si>
    <t>To generate capital appreciation from a portfolio of Equity and Equity Related Instruments of companies engaged in the business of banking and financial services.</t>
  </si>
  <si>
    <t>Nifty Financial Services TRI</t>
  </si>
  <si>
    <t>Since 1 June , 2018</t>
  </si>
  <si>
    <t>Hiten Jain</t>
  </si>
  <si>
    <t>Angel One Ltd.</t>
  </si>
  <si>
    <t>Capital Markets</t>
  </si>
  <si>
    <t>SBI Life Insurance Company Ltd.</t>
  </si>
  <si>
    <t>Insurance</t>
  </si>
  <si>
    <t>IIFL Wealth Management Ltd.</t>
  </si>
  <si>
    <t>UTI Asset Management Co. Ltd.</t>
  </si>
  <si>
    <t>Invesco India Focused 20 Equity Fund</t>
  </si>
  <si>
    <t>An open ended equity scheme investing in maximum 20 stocks across market capitalization (i.e. Multicap)</t>
  </si>
  <si>
    <t>Nitin Gosar</t>
  </si>
  <si>
    <t>Since 26 August , 2021</t>
  </si>
  <si>
    <t>Since 9 September , 2020</t>
  </si>
  <si>
    <t>MTAR Technologies Ltd.</t>
  </si>
  <si>
    <t>AEROSPACE &amp; DEFENSE</t>
  </si>
  <si>
    <t>Tata Motors Ltd.</t>
  </si>
  <si>
    <t>Auto</t>
  </si>
  <si>
    <t>Gland Pharma Ltd.</t>
  </si>
  <si>
    <t>Invesco India Growth Opportunities Fund</t>
  </si>
  <si>
    <t>Large &amp; Mid Cap Fund - An open ended equity scheme investing in both large cap and mid cap stocks</t>
  </si>
  <si>
    <t>To generate capital appreciation from a diversified portfolio of predominantly Equity and Equity Related Instruments of Large and Midcap companies.</t>
  </si>
  <si>
    <t>NIFTY Large Midcap 250 TRI</t>
  </si>
  <si>
    <t>Pranav Gokhale</t>
  </si>
  <si>
    <t>Minda Industries Ltd.</t>
  </si>
  <si>
    <t>Auto Ancillaries</t>
  </si>
  <si>
    <t>Vinati Organics lTD.</t>
  </si>
  <si>
    <t>Chemicals</t>
  </si>
  <si>
    <t>Invesco India Infrastructure Fund</t>
  </si>
  <si>
    <t xml:space="preserve">An open ended equity scheme following Infrastructure theme </t>
  </si>
  <si>
    <t>To generate capital appreciation by investing in a portfolio that is predominantly constituted of Equity and Equity Related Instruments of infrastructure companies.</t>
  </si>
  <si>
    <t>BSE India Infrastructure Index TR**</t>
  </si>
  <si>
    <t>Neelesh Dhamnaskar</t>
  </si>
  <si>
    <t>Since 3 September , 2020</t>
  </si>
  <si>
    <t>Tata Power Co. Ltd.</t>
  </si>
  <si>
    <t>Power</t>
  </si>
  <si>
    <t>KNR Constructions Ltd.</t>
  </si>
  <si>
    <t>Construction</t>
  </si>
  <si>
    <t>Bharti Airtel Ltd.</t>
  </si>
  <si>
    <t>Telecom - Services</t>
  </si>
  <si>
    <t>Thermax Ltd.</t>
  </si>
  <si>
    <t>Industrial Capital Goods</t>
  </si>
  <si>
    <t>PNC Infratech Ltd.</t>
  </si>
  <si>
    <t>G R Infraprojects Ltd.</t>
  </si>
  <si>
    <t>Bharat Electronics Ltd.</t>
  </si>
  <si>
    <t>Invesco India Largecap Fund</t>
  </si>
  <si>
    <t>Large Cap Fund - An open ended equity scheme predominantly investing in large cap stocks</t>
  </si>
  <si>
    <t>To generate capital appreciation by investing predominantly in Largecap companies.</t>
  </si>
  <si>
    <t>Nifty 100 TRI</t>
  </si>
  <si>
    <t>Since 29 March , 2018</t>
  </si>
  <si>
    <t>Invesco India Mid Cap Fund</t>
  </si>
  <si>
    <t>Mid Cap Fund - An open ended equity scheme predominantly investing in mid cap stocks</t>
  </si>
  <si>
    <t>To generate capital appreciation by investing predominantly in Midcap companies.</t>
  </si>
  <si>
    <t>Since 18 July , 2018</t>
  </si>
  <si>
    <t>Persistent Systems Ltd.</t>
  </si>
  <si>
    <t>Sundram Fasteners Ltd.</t>
  </si>
  <si>
    <t>Voltas Ltd.</t>
  </si>
  <si>
    <t>Ashok Leyland Ltd.</t>
  </si>
  <si>
    <t>Cholamandalam Investment and Finance Company Ltd.</t>
  </si>
  <si>
    <t>Mphasis Ltd.</t>
  </si>
  <si>
    <t>Balkrishna Industries Ltd.</t>
  </si>
  <si>
    <t>Gujarat Gas Ltd.</t>
  </si>
  <si>
    <t>GAS</t>
  </si>
  <si>
    <t>Invesco India Multicap Fund</t>
  </si>
  <si>
    <t>Multi Cap Fund - An open ended equity scheme investing across large cap, mid cap, small cap stocks</t>
  </si>
  <si>
    <t>To generate capital appreciation by investing predominantly in Equity and Equity Related Instruments across market capitalization.</t>
  </si>
  <si>
    <t>NIFTY 500 Multicap 50:25:25 TRI</t>
  </si>
  <si>
    <t>Birlasoft Ltd.</t>
  </si>
  <si>
    <t>Birla Corporation Ltd.</t>
  </si>
  <si>
    <t>Invesco India PSU Equity Fund</t>
  </si>
  <si>
    <t>An open ended equity scheme following PSU theme</t>
  </si>
  <si>
    <t>To generate capital appreciation by investing in Equity and Equity Related Instruments of companies where the Central / State Government(s) has majority shareholding or management control or has powers to appoint majority of directors.</t>
  </si>
  <si>
    <t>S&amp;P BSE PSU TRI</t>
  </si>
  <si>
    <t>NTPC Ltd.</t>
  </si>
  <si>
    <t>Hindustan Petroleum Corporation Ltd.</t>
  </si>
  <si>
    <t>Bharat Petroleum Corporation Ltd.</t>
  </si>
  <si>
    <t>Sbi Cards &amp; Payment Services</t>
  </si>
  <si>
    <t>National Aluminium Co. Ltd.</t>
  </si>
  <si>
    <t>Non - Ferrous Metals</t>
  </si>
  <si>
    <t>CANFIN Homes Ltd.</t>
  </si>
  <si>
    <t>Invesco India Smallcap Fund</t>
  </si>
  <si>
    <t>Small Cap Fund – An open ended equity scheme predominantly investing in
small cap stocks</t>
  </si>
  <si>
    <t>S&amp;P BSE 250 Small Cap Index TRI</t>
  </si>
  <si>
    <t>Since 1 March , 2019</t>
  </si>
  <si>
    <t>Since 10 October , 2018</t>
  </si>
  <si>
    <t>V-Mart Retail Ltd</t>
  </si>
  <si>
    <t>KEC International Ltd.</t>
  </si>
  <si>
    <t>TCI Express Ltd.</t>
  </si>
  <si>
    <t>Transportation</t>
  </si>
  <si>
    <t>V I P Industries Ltd.</t>
  </si>
  <si>
    <t>Krishna Institute of Medical Sciences Ltd.</t>
  </si>
  <si>
    <t>Healthcare Services</t>
  </si>
  <si>
    <t>Craftsman Automation Ltd.</t>
  </si>
  <si>
    <t>KEI Industries</t>
  </si>
  <si>
    <t>Industrial Products</t>
  </si>
  <si>
    <t>Invesco India Tax Plan</t>
  </si>
  <si>
    <t>An open ended equity linked saving scheme with a statutory lock in of 3 years and tax benefit</t>
  </si>
  <si>
    <t>To generate long term capital appreciation from a diversified portfolio of predominantly equity and equity-related instruments.</t>
  </si>
  <si>
    <t>L&amp;T Technology Services Ltd.</t>
  </si>
  <si>
    <t>Petroleum Products</t>
  </si>
  <si>
    <t>-</t>
  </si>
  <si>
    <r>
      <t>Nifty 50 TRI</t>
    </r>
    <r>
      <rPr>
        <vertAlign val="superscript"/>
        <sz val="11"/>
        <color theme="1"/>
        <rFont val="Calibri"/>
        <family val="2"/>
        <scheme val="minor"/>
      </rPr>
      <t>1</t>
    </r>
  </si>
  <si>
    <t>S&amp;P BSE Midcap 150 TRI**</t>
  </si>
  <si>
    <t>Returns % (SA)</t>
  </si>
  <si>
    <t>Investment
Objective</t>
  </si>
  <si>
    <t>CRISIL Composite Bond Fund Index</t>
  </si>
  <si>
    <t>Vikas Garg</t>
  </si>
  <si>
    <t>Krishna Venkat Cheemalpati</t>
  </si>
  <si>
    <t>Managing this fund since</t>
  </si>
  <si>
    <t>Since 16 December , 2020</t>
  </si>
  <si>
    <t>Since 4 January , 2020</t>
  </si>
  <si>
    <r>
      <t>Lumpsum Performance</t>
    </r>
    <r>
      <rPr>
        <b/>
        <vertAlign val="superscript"/>
        <sz val="11"/>
        <rFont val="Calibri"/>
        <family val="2"/>
        <scheme val="minor"/>
      </rPr>
      <t>3</t>
    </r>
  </si>
  <si>
    <t>Portfolio Details</t>
  </si>
  <si>
    <t>Asset Class</t>
  </si>
  <si>
    <t>National Highway Authority of India (CR 7.27) (MD 06/06/2022)</t>
  </si>
  <si>
    <t>Bond</t>
  </si>
  <si>
    <t>Aditya Birla Finance Ltd. (MD 08/04/2022)</t>
  </si>
  <si>
    <t>ZCB</t>
  </si>
  <si>
    <t>HDB Financial Services Ltd (MD 05/04/2022)</t>
  </si>
  <si>
    <t>Axis Finance Ltd. (MD 25/05/2022)</t>
  </si>
  <si>
    <t>Grasim Industries Ltd. (CR 7.65) (MD 15/04/2022)</t>
  </si>
  <si>
    <t>Debentures</t>
  </si>
  <si>
    <t>Bajaj Housing Finance Ltd  (MD 05/04/2022)</t>
  </si>
  <si>
    <t>National Highway Authority of India (CR 7.6) (MD 18/03/2022)</t>
  </si>
  <si>
    <t>NABARD (CR 7.85) (MD 23/05/2022)</t>
  </si>
  <si>
    <t>NABARD (CR 7.9) (MD 18/04/2022)</t>
  </si>
  <si>
    <t>Bharat Petroleum Corporation Ltd. (CR 7.35) (MD 10/03/2022)</t>
  </si>
  <si>
    <t>L &amp; T Finance Ltd. (CR 8.9499) (MD 10/06/2022)</t>
  </si>
  <si>
    <t>Reliance Industries Ltd. (CR 8.3) (MD 08/03/2022)</t>
  </si>
  <si>
    <t>Net Receivables/(Payable)</t>
  </si>
  <si>
    <t>Net Receivables/(Payables)</t>
  </si>
  <si>
    <t>Export-Import Bank of India Ltd. (CR 9) (MD 07/02/2022)</t>
  </si>
  <si>
    <t>Housing &amp; Urban Development Corporation Ltd. (CR 8.23) (MD 15/04/2022)</t>
  </si>
  <si>
    <t>Indian Railway Finance Corporation Ltd. (CR 9.95) (MD 07/06/2022)</t>
  </si>
  <si>
    <t>Food Corporation of India (CR 9.95) (MD 07/03/2022)</t>
  </si>
  <si>
    <t>REC LTD. (CR 9.35) (MD 15/06/2022)</t>
  </si>
  <si>
    <t>Bajaj Finance Ltd. (MD 05/04/2022)</t>
  </si>
  <si>
    <t>Power Grid Corporation of India Ltd. (CR 9.64) (MD 31/05/2022)</t>
  </si>
  <si>
    <t>L &amp; T Finance Ltd. (CR 9.3772) (MD 11/03/2022)</t>
  </si>
  <si>
    <t>LIC Housing Finance Ltd. (MD 25/02/2022)</t>
  </si>
  <si>
    <t>LIC Housing Finance Ltd. (CR 7.48) (MD 10/06/2022)</t>
  </si>
  <si>
    <t>LIC Housing Finance Ltd. (CR 7.95) (MD 24/03/2022)</t>
  </si>
  <si>
    <t>Larsen &amp; Toubro Ltd. (CR 7) (MD 25/04/2022)</t>
  </si>
  <si>
    <r>
      <t xml:space="preserve">2. </t>
    </r>
    <r>
      <rPr>
        <b/>
        <sz val="11"/>
        <rFont val="Calibri"/>
        <family val="2"/>
        <scheme val="minor"/>
      </rPr>
      <t>Past performance may or may not be sustained in future.</t>
    </r>
    <r>
      <rPr>
        <sz val="11"/>
        <rFont val="Calibri"/>
        <family val="2"/>
        <scheme val="minor"/>
      </rPr>
      <t xml:space="preserve"> The performance details provided herein are of existing plan &amp; Direct plan – Growth Option. Different plans have different expense structure. CAGR – Compounded Annualised Growth Rate</t>
    </r>
  </si>
  <si>
    <t>A Close - Ended  Debt Scheme. A  relatively low  interest rate risk and  relatively low credit  risk.</t>
  </si>
  <si>
    <t>A Close - Ended  Debt Scheme. A  relatively low  interest rate risk and relatively low credit  risk.</t>
  </si>
  <si>
    <r>
      <t>CRISIL 10 Yr Gilt Index</t>
    </r>
    <r>
      <rPr>
        <vertAlign val="superscript"/>
        <sz val="11"/>
        <rFont val="Calibri"/>
        <family val="2"/>
        <scheme val="minor"/>
      </rPr>
      <t>1</t>
    </r>
  </si>
  <si>
    <t>Invesco India Dynamic Equity Fund</t>
  </si>
  <si>
    <t>Invesco India Equity &amp; Bond Fund</t>
  </si>
  <si>
    <t>Invesco India Equity Savings Fund</t>
  </si>
  <si>
    <t>Invesco India Arbitrage Fund</t>
  </si>
  <si>
    <t>An open ended dynamic asset allocation fund</t>
  </si>
  <si>
    <t>An open ended hybrid scheme investing predominantly in equity &amp; equity related instruments</t>
  </si>
  <si>
    <t>An open ended scheme investing in equity, arbitrage and debt</t>
  </si>
  <si>
    <t>An open ended scheme investing in arbitrage opportunities</t>
  </si>
  <si>
    <t>To generate capital appreciation by investing in equity and debt securities which are managed dynamically.</t>
  </si>
  <si>
    <t>To generate capital appreciation and current income by investing in equity &amp; equity related instruments as well as debt securities.</t>
  </si>
  <si>
    <t xml:space="preserve">To generate capital appreciation and income by investing in equity and equity related instruments, arbitrage opportunities and fixed income instruments (including debt, government securities and money market instruments). </t>
  </si>
  <si>
    <t>To generate income through arbitrage opportunities emerging out of difference in pricing between the cash market and the derivatives market and through deployment of surplus cash in fixed income instruments.</t>
  </si>
  <si>
    <t>Nifty 50 Hybrid Composite Debt 50:50 Index</t>
  </si>
  <si>
    <t>CRISIL Hybrid 35 + 65 - Aggressive Index</t>
  </si>
  <si>
    <t>NIFTY Equity Savings Index</t>
  </si>
  <si>
    <t>Nifty 50 Arbitrage</t>
  </si>
  <si>
    <t>Krishna Cheemalapati</t>
  </si>
  <si>
    <t>Deepak Gupta</t>
  </si>
  <si>
    <t>Since 01 June , 2018</t>
  </si>
  <si>
    <t>Since January 13, 2017</t>
  </si>
  <si>
    <t>Since 30 June, 2018</t>
  </si>
  <si>
    <t>Since May 19, 2020</t>
  </si>
  <si>
    <t>Since June 30, 2018</t>
  </si>
  <si>
    <t>Since September 3, 2020</t>
  </si>
  <si>
    <t>Since March 7, 2019</t>
  </si>
  <si>
    <t>Lumpsum Performance</t>
  </si>
  <si>
    <r>
      <t>CRISIL 10 Year Gilt Index</t>
    </r>
    <r>
      <rPr>
        <vertAlign val="superscript"/>
        <sz val="11"/>
        <rFont val="Calibri"/>
        <family val="2"/>
        <scheme val="minor"/>
      </rPr>
      <t>1</t>
    </r>
  </si>
  <si>
    <r>
      <t>CRISIL 1 Yr T – Bill Index</t>
    </r>
    <r>
      <rPr>
        <vertAlign val="superscript"/>
        <sz val="11"/>
        <rFont val="Calibri"/>
        <family val="2"/>
        <scheme val="minor"/>
      </rPr>
      <t>1</t>
    </r>
  </si>
  <si>
    <t>Asset class</t>
  </si>
  <si>
    <r>
      <t>Top Holdings</t>
    </r>
    <r>
      <rPr>
        <b/>
        <vertAlign val="superscript"/>
        <sz val="11"/>
        <rFont val="Calibri"/>
        <family val="2"/>
        <scheme val="minor"/>
      </rPr>
      <t>3</t>
    </r>
  </si>
  <si>
    <t>Housing Development Finance Corporation Limited</t>
  </si>
  <si>
    <t>Debt</t>
  </si>
  <si>
    <t>5.63% GOI (MD 12/04/2026)</t>
  </si>
  <si>
    <t>Sovereign</t>
  </si>
  <si>
    <t>Invesco Mutual Fund</t>
  </si>
  <si>
    <t>Mutual Fund Units</t>
  </si>
  <si>
    <t>National Bank For Agriculture and Rural Development</t>
  </si>
  <si>
    <t>United Spirits Limited</t>
  </si>
  <si>
    <t>Equity</t>
  </si>
  <si>
    <t>Vodafone Idea Limited</t>
  </si>
  <si>
    <t>Reliance Industries Limited</t>
  </si>
  <si>
    <t>ICICI Bank Limited</t>
  </si>
  <si>
    <t>7.68% GOI (MD 15/12/2023)</t>
  </si>
  <si>
    <t>Infosys Limited</t>
  </si>
  <si>
    <t>HDFC Bank Limited</t>
  </si>
  <si>
    <t>Kotak Mahindra Prime Limited</t>
  </si>
  <si>
    <t>6.1% GOI (MD 12/07/2031)</t>
  </si>
  <si>
    <t>Sun Pharmaceutical Industries Limited</t>
  </si>
  <si>
    <t>364 Days Tbill (MD 30/03/2022)</t>
  </si>
  <si>
    <t>HCL Technologies Limited</t>
  </si>
  <si>
    <t>7.26% GOI (MD 14/01/2029)</t>
  </si>
  <si>
    <t>Minda Industries Limited</t>
  </si>
  <si>
    <t>364 Days Tbill (MD 16/06/2022)</t>
  </si>
  <si>
    <t>Krishna Institute Of Medical Sciences Limited</t>
  </si>
  <si>
    <t>364 Days Tbill (MD 13/10/2022)</t>
  </si>
  <si>
    <t>ITC Limited</t>
  </si>
  <si>
    <t>Axis Bank Limited</t>
  </si>
  <si>
    <t>Larsen &amp; Toubro Limited</t>
  </si>
  <si>
    <t>The Scheme is having exposure to Stock Futures (Short) against the above Equity Stocks and the Gross Exposure Derivatives is 67.46 of Net Assets.</t>
  </si>
  <si>
    <t>4. Benchmark Returns are calculated using Total Return variant of respective Benchmark Index. Inception date of the Invesco India Arbitrage Fund is 30 April, 2007 which is prior to the date (i.e. 01 April, 2010) from which figures for Nifty 50 Arbitrage Index (Benchmark Index) are available. Hence returns since inception and for other required periods are not available for Nifty 50 Arbitrage Index. NA - Not Available</t>
  </si>
  <si>
    <t>The Gross Exposure Derivatives in the scheme is 7.47% of Net Assets.</t>
  </si>
  <si>
    <t>T-Bill</t>
  </si>
  <si>
    <t xml:space="preserve"> Out of 67.18% equity exposure, unhedged is 35.49% and balance is hedged.</t>
  </si>
  <si>
    <t>Tata Power Company Limited</t>
  </si>
  <si>
    <t>364 Days Tbill (MD 30/06/2022)</t>
  </si>
  <si>
    <t>IDFC Limited</t>
  </si>
  <si>
    <t>Punjab National Bank</t>
  </si>
  <si>
    <t>Invesco India Liquid Fund</t>
  </si>
  <si>
    <t>Invesco India Overnight Fund</t>
  </si>
  <si>
    <t>Invesco India Treasury Advantage Fund</t>
  </si>
  <si>
    <t>Invesco India Short Term Fund</t>
  </si>
  <si>
    <t xml:space="preserve">Invesco India Gilt Fund </t>
  </si>
  <si>
    <t>Invesco India Money Market Fund</t>
  </si>
  <si>
    <t>Invesco India Corporate Bond Fund</t>
  </si>
  <si>
    <t>Invesco India Ultra Short Term Fund</t>
  </si>
  <si>
    <t>Invesco India Banking &amp; PSU Debt Fund</t>
  </si>
  <si>
    <t>Invesco India Credit Risk Fund</t>
  </si>
  <si>
    <t>Invesco India Medium Duration Fund</t>
  </si>
  <si>
    <t>An open ended liquid scheme. A relatively low interest rate risk and relatively low credit risk.</t>
  </si>
  <si>
    <t>An open ended debt scheme investing in overnight securities.
A relatively low interest rate risk and relatively low credit risk.</t>
  </si>
  <si>
    <t>An open ended low duration debt scheme investing in instruments such that the Macaulay duration^ of the portfolio is between 6 months to 12 months. A relatively low interest rate risk and relatively low credit risk.</t>
  </si>
  <si>
    <t>An open ended short term debt scheme investing in instruments such that the Macaulay duration^ of the portfolio is between 1 year to 3 years. A moderate interest rate risk and relatively low credit risk.</t>
  </si>
  <si>
    <t>An open ended debt scheme investing in government securities across maturity. A relatively high interest rate risk and relatively low credit risk.</t>
  </si>
  <si>
    <t>An open ended debt scheme investing in money market instruments. A relatively low interest rate risk and relatively low credit risk.</t>
  </si>
  <si>
    <t>An open ended debt scheme predominantly investing in AA+ and above rated corporate bonds. A relatively high interest rate risk and relatively low credit risk.</t>
  </si>
  <si>
    <t>An open ended ultra-short term debt scheme investing in instruments such that the Macaulay duration^ of the portfolio is between 3 months to 6 months. A relatively low interest rate risk and moderate credit risk.</t>
  </si>
  <si>
    <t>An open ended debt scheme predominantly investing in Debt instruments of banks, Public Sector Undertakings, Public Financial Institutions and Municipal Bonds. A relatively high interest rate risk and relatively low credit risk.</t>
  </si>
  <si>
    <t>An open ended debt scheme predominantly investing in AA and below rated corporate bonds (excluding AA+ rated corporate bonds). A relatively high interest rate
risk and moderate credit risk.</t>
  </si>
  <si>
    <t>An open ended medium term debt scheme investing in instruments such that the Macaulay duration^ of the portfolio is between 3 years and 4 years. A relatively high interest rate risk and moderate credit risk.</t>
  </si>
  <si>
    <t>To generate income commensurate with low risk and high liquidity, through a portfolio of debt and Money Market Instruments.</t>
  </si>
  <si>
    <t>To generate income commensurate with low risk and high liquidity by investing in overnight securities having residual maturity of 1 business day.</t>
  </si>
  <si>
    <t>To generate income by investing in debt and Money Market Instruments.</t>
  </si>
  <si>
    <t>To generate steady returns with a moderate risk for investors by investing in a portfolio of short term debt and Money Market Instruments.</t>
  </si>
  <si>
    <t>To generate returns by investing predominantly in a portfolio of securities issued and guaranteed by Central and State Government across maturities.</t>
  </si>
  <si>
    <t>To generate superior risk-adjusted returns by investing in Money Market Instruments.</t>
  </si>
  <si>
    <t>To generate regular and stable income by investing predominantly in bonds issued by corporates. The scheme will invest in bonds which are rated AA+/ AAA by credit rating agencies.</t>
  </si>
  <si>
    <t>To primarily generate accrual income by investing in a portfolio of short term Money Market and Debt Instruments.</t>
  </si>
  <si>
    <t>To generate returns by investing primarily in debt &amp; Money Market Instruments issued by banks, Public Financial Institutions (PFIs), Public Sector Undertakings (PSUs) and Municipal Bonds.</t>
  </si>
  <si>
    <t>To generate accrual income and capital appreciation by investing in debt securities of varying maturities across the credit spectrum.</t>
  </si>
  <si>
    <t xml:space="preserve">To generate income by investing in a portfolio of Debt and Money Market Instruments such that the Macaulay duration of the portfolio is between 3 years and 4 years. </t>
  </si>
  <si>
    <t>CRISIL Liquid Fund Index</t>
  </si>
  <si>
    <t>CRISIL Overnight Index</t>
  </si>
  <si>
    <t>CRISIL Low Duration Debt Index</t>
  </si>
  <si>
    <t>CRISIL Short Term Bond Fund Index</t>
  </si>
  <si>
    <t>CRISIL Money Market Index</t>
  </si>
  <si>
    <t>CRISIL Ultra Short Term Debt Index</t>
  </si>
  <si>
    <t>CRISIL Banking and PSU Debt Index</t>
  </si>
  <si>
    <t>CRISIL Medium Term Debt Index</t>
  </si>
  <si>
    <t xml:space="preserve">Managing this fund </t>
  </si>
  <si>
    <t>Since April 25, 2011</t>
  </si>
  <si>
    <t>Since July 27, 2021</t>
  </si>
  <si>
    <t>Since January 8, 2020</t>
  </si>
  <si>
    <t>Since January 1, 2013</t>
  </si>
  <si>
    <t>Since December 16, 2020</t>
  </si>
  <si>
    <t>Since September 26, 2020</t>
  </si>
  <si>
    <t>Since January 4, 2020</t>
  </si>
  <si>
    <t>Since July 16, 2021</t>
  </si>
  <si>
    <r>
      <t>CRISIL 1 Year T – Bill Index</t>
    </r>
    <r>
      <rPr>
        <vertAlign val="superscript"/>
        <sz val="11"/>
        <rFont val="Calibri"/>
        <family val="2"/>
        <scheme val="minor"/>
      </rPr>
      <t>1</t>
    </r>
  </si>
  <si>
    <t>CRISIL Short  Term Bond Fund Index</t>
  </si>
  <si>
    <t>CRISIL Dynamic Gilt Index</t>
  </si>
  <si>
    <t>CRISIL 10 Yr Gilt Index</t>
  </si>
  <si>
    <t>CRISIL Corporate Bond Composite Index</t>
  </si>
  <si>
    <r>
      <t>CRISIL 10 Year Gilt Index</t>
    </r>
    <r>
      <rPr>
        <vertAlign val="superscript"/>
        <sz val="11"/>
        <color theme="1"/>
        <rFont val="Calibri"/>
        <family val="2"/>
        <scheme val="minor"/>
      </rPr>
      <t>1</t>
    </r>
  </si>
  <si>
    <t>CRISIL Short Term Credit Risk Index</t>
  </si>
  <si>
    <r>
      <rPr>
        <b/>
        <sz val="11"/>
        <color theme="1"/>
        <rFont val="Calibri"/>
        <family val="2"/>
        <scheme val="minor"/>
      </rPr>
      <t>Portfolio Details</t>
    </r>
    <r>
      <rPr>
        <u/>
        <sz val="11"/>
        <color theme="1"/>
        <rFont val="Calibri"/>
        <family val="2"/>
        <scheme val="minor"/>
      </rPr>
      <t xml:space="preserve">
Kindly click here for the latest available portfolio</t>
    </r>
  </si>
  <si>
    <t>Holdings</t>
  </si>
  <si>
    <t>Hindustan Petroleum Corporation Limited</t>
  </si>
  <si>
    <t>CP</t>
  </si>
  <si>
    <t>Cash and cash equivalent</t>
  </si>
  <si>
    <t>Reverse Repo</t>
  </si>
  <si>
    <t>LIC Housing Finance Limited</t>
  </si>
  <si>
    <t>5.22% GOI (MD 15/06/2025)</t>
  </si>
  <si>
    <t>8.20% GOI (MD 15/02/2022)</t>
  </si>
  <si>
    <t>CD</t>
  </si>
  <si>
    <t>Small Industries Dev Bank of India</t>
  </si>
  <si>
    <t>NTPC Limited</t>
  </si>
  <si>
    <t>Indian Railway Finance Corporation Limited</t>
  </si>
  <si>
    <t>National Housing Bank</t>
  </si>
  <si>
    <t>Export Import Bank of India</t>
  </si>
  <si>
    <t>REC Limited</t>
  </si>
  <si>
    <t>7.59% GOI(MD 11/01/2026)</t>
  </si>
  <si>
    <t>ICICI Securities Limited</t>
  </si>
  <si>
    <t>91 Days Tbill (MD 03/03/2022)</t>
  </si>
  <si>
    <t>Kotak Mahindra Investments Limited</t>
  </si>
  <si>
    <t>Power Grid Corporation of India Limited</t>
  </si>
  <si>
    <t>6.45% GOI (MD 07/10/2029)</t>
  </si>
  <si>
    <t>364 Days Tbill (MD 11/03/2022)</t>
  </si>
  <si>
    <t>Power Finance Corporation Limited</t>
  </si>
  <si>
    <t>Reliance Jio Infocomm Limited</t>
  </si>
  <si>
    <t>Sikka Ports and Terminals Limited</t>
  </si>
  <si>
    <t>8.67% Karnataka SDL (MD 24/02/2026)</t>
  </si>
  <si>
    <t>91 Days Tbill (MD 14/04/2022)</t>
  </si>
  <si>
    <t>Sundaram Finance Limited</t>
  </si>
  <si>
    <t>National Highways Auth Of Ind</t>
  </si>
  <si>
    <t>HDB Financial Services Limited</t>
  </si>
  <si>
    <t>Berger Paints (I) Limited</t>
  </si>
  <si>
    <t>6.18% GOI (MD 04/11/2024)</t>
  </si>
  <si>
    <t>Reliance Retail Ventures Limited</t>
  </si>
  <si>
    <t>8.80% Tamil Nadu SDL (MD 25/10/2022)</t>
  </si>
  <si>
    <t>Food Corporation Of India</t>
  </si>
  <si>
    <t>6.79% GOI (MD 15/05/2027)</t>
  </si>
  <si>
    <t>91 Days Tbill (MD 17/03/2022)</t>
  </si>
  <si>
    <t>Tata Steel Limited</t>
  </si>
  <si>
    <t>Muthoot Finance Limited</t>
  </si>
  <si>
    <t>Kotak Mahindra Bank Limited</t>
  </si>
  <si>
    <t>Indian Oil Corporation Limited</t>
  </si>
  <si>
    <t>Hindalco Industries Limited</t>
  </si>
  <si>
    <t>State Bank of India (Basel III Tier II Bond)</t>
  </si>
  <si>
    <t>Godrej Agrovet Limited</t>
  </si>
  <si>
    <t>8.94% Gujarat SDL (MD 07/03/2022)</t>
  </si>
  <si>
    <t>Chennai Petroleum Corporation Limited</t>
  </si>
  <si>
    <t>8.74% Karnataka SDL (MD 22/02/2022)</t>
  </si>
  <si>
    <t>5.77% GOI (MD 03/08/2030)</t>
  </si>
  <si>
    <t>8.27% Gujarat SDL (MD 13/01/2026)</t>
  </si>
  <si>
    <t>0.28%+AAU43:AX50</t>
  </si>
  <si>
    <t xml:space="preserve">
</t>
  </si>
  <si>
    <t>Potential Risk Class Matrix</t>
  </si>
  <si>
    <r>
      <t xml:space="preserve">1. </t>
    </r>
    <r>
      <rPr>
        <vertAlign val="superscript"/>
        <sz val="11"/>
        <color theme="1"/>
        <rFont val="Calibri"/>
        <family val="2"/>
        <scheme val="minor"/>
      </rPr>
      <t>1</t>
    </r>
    <r>
      <rPr>
        <sz val="11"/>
        <color theme="1"/>
        <rFont val="Calibri"/>
        <family val="2"/>
        <scheme val="minor"/>
      </rPr>
      <t>Additional Benchmark</t>
    </r>
  </si>
  <si>
    <r>
      <t xml:space="preserve">2. </t>
    </r>
    <r>
      <rPr>
        <b/>
        <sz val="11"/>
        <color theme="1"/>
        <rFont val="Calibri"/>
        <family val="2"/>
        <scheme val="minor"/>
      </rPr>
      <t>Past performance may or may not be sustained in future.</t>
    </r>
    <r>
      <rPr>
        <sz val="11"/>
        <color theme="1"/>
        <rFont val="Calibri"/>
        <family val="2"/>
        <scheme val="minor"/>
      </rPr>
      <t xml:space="preserve"> The performance details provided herein are of existing plan &amp; Direct plan – Growth Option. Different plans have different expense structure. For calculating returns since inception for Direct Plan, NAV as on January 1, 2013, of corresponding growth option of existing plan is considered. CAGR – Compounded Annualised Growth Rate</t>
    </r>
  </si>
  <si>
    <t>3. Returns are given only in respect of schemes which have completed 6 months. For calculating returns since inception for open ended debt schemes NAV as on the date of allotment is taken as Rs. 1,000/. Since inception date is deemed to be date of allotment. Face value is Rs. 1000</t>
  </si>
  <si>
    <t>4. ^Macaulay duration of a bond is the number of years taken to recover the initial investment of a bond. It is calculated as the weighted average number of years to receive the cash flow wherein the present value of respective cash flows is multiplied with the time to that respective cash flows. The total of such values is divided by the price of the security to arrive at the duration.</t>
  </si>
  <si>
    <t>Invesco India Nifty Exchange Traded Fund</t>
  </si>
  <si>
    <t>Invesco India Gold Exchange Traded Fund</t>
  </si>
  <si>
    <t>Invesco India Gold Fund</t>
  </si>
  <si>
    <t>An open ended scheme replicating Nifty 50 Index</t>
  </si>
  <si>
    <t>An open ended scheme tracking returns provided by investment in physical gold</t>
  </si>
  <si>
    <t>An open ended fund of fund scheme investing in Invesco India Gold Exchange Traded Fund</t>
  </si>
  <si>
    <t>To generate returns which closely correspond to the returns generated by securities as represented by Nifty 50, subject to tracking error, if any.</t>
  </si>
  <si>
    <t>To generate returns that closely correspond to the returns provided by investment in physical gold in the domestic market, subject to tracking error.</t>
  </si>
  <si>
    <t>To provide returns that closely corresponds to returns provided by Invesco India Gold Exchange Traded Fund.</t>
  </si>
  <si>
    <r>
      <t>Nifty 50 Index TRI</t>
    </r>
    <r>
      <rPr>
        <vertAlign val="superscript"/>
        <sz val="11"/>
        <color theme="1"/>
        <rFont val="Calibri"/>
        <family val="2"/>
        <scheme val="minor"/>
      </rPr>
      <t>2</t>
    </r>
  </si>
  <si>
    <t>Price of Gold</t>
  </si>
  <si>
    <t>Kuber Mannadi</t>
  </si>
  <si>
    <r>
      <t>Nifty 50 TRI</t>
    </r>
    <r>
      <rPr>
        <vertAlign val="superscript"/>
        <sz val="11"/>
        <color theme="1"/>
        <rFont val="Calibri"/>
        <family val="2"/>
        <scheme val="minor"/>
      </rPr>
      <t>3</t>
    </r>
  </si>
  <si>
    <r>
      <t>S&amp;P BSE Sensex TRI</t>
    </r>
    <r>
      <rPr>
        <vertAlign val="superscript"/>
        <sz val="11"/>
        <color theme="1"/>
        <rFont val="Calibri"/>
        <family val="2"/>
        <scheme val="minor"/>
      </rPr>
      <t>1</t>
    </r>
  </si>
  <si>
    <r>
      <t>NA</t>
    </r>
    <r>
      <rPr>
        <vertAlign val="superscript"/>
        <sz val="11"/>
        <color theme="1"/>
        <rFont val="Calibri"/>
        <family val="2"/>
        <scheme val="minor"/>
      </rPr>
      <t>3</t>
    </r>
  </si>
  <si>
    <t>Gold</t>
  </si>
  <si>
    <t>Invesco India Gold Exchange Traded Fund
(Units of Gold ETF)</t>
  </si>
  <si>
    <t>Tata Consultancy Services Limited</t>
  </si>
  <si>
    <t>Hindustan Unilever Limited</t>
  </si>
  <si>
    <t>2. Fund of Funds Schemes - The investor will bear the recurring expenses of the scheme, in addition to the expenses of underlying scheme.</t>
  </si>
  <si>
    <r>
      <t xml:space="preserve">3. </t>
    </r>
    <r>
      <rPr>
        <b/>
        <sz val="11"/>
        <color theme="1"/>
        <rFont val="Calibri"/>
        <family val="2"/>
        <scheme val="minor"/>
      </rPr>
      <t>Past performance may or may not be sustained in future.</t>
    </r>
    <r>
      <rPr>
        <sz val="11"/>
        <color theme="1"/>
        <rFont val="Calibri"/>
        <family val="2"/>
        <scheme val="minor"/>
      </rPr>
      <t xml:space="preserve"> The performance details provided herein are of existing plan &amp; Direct plan – Growth Option. Different plans have different expense structure. For calculating returns since inception for Direct Plan, NAV as on January 1, 2013, of corresponding growth option of existing plan is considered. CAGR – Compounded Annualised Growth Rate</t>
    </r>
  </si>
  <si>
    <t>4. Returns are given only in respect of schemes which have completed 6 months. Returns for Invesco India Nifty Exchange Traded Fund are calculated after considering dividend reinvestment of Rs. 5 per unit on record date - December 26, 2012 at ex-dividend NAV of Rs. 591.3176 per unit. For calculating returns since inception for Invesco India Gold Exchange Traded Fund, NAV as on the date of allotment is taken as Rs.1,680.0014/- and for Invesco India Nifty Exchange Traded Fund, NAV as on the date of allotment is taken as Rs. 548.28/-.  Face Value per unit is Rs. 10/- for all schemes except for Invesco India Gold Exchange Traded Fund where Face Value per unit Rs. 100/-</t>
  </si>
  <si>
    <r>
      <t xml:space="preserve">5. </t>
    </r>
    <r>
      <rPr>
        <vertAlign val="superscript"/>
        <sz val="11"/>
        <color theme="1"/>
        <rFont val="Calibri"/>
        <family val="2"/>
        <scheme val="minor"/>
      </rPr>
      <t>2</t>
    </r>
    <r>
      <rPr>
        <sz val="11"/>
        <color theme="1"/>
        <rFont val="Calibri"/>
        <family val="2"/>
        <scheme val="minor"/>
      </rPr>
      <t>Benchmark Returns are calculated using Total Return variant</t>
    </r>
  </si>
  <si>
    <r>
      <t xml:space="preserve">6. </t>
    </r>
    <r>
      <rPr>
        <vertAlign val="superscript"/>
        <sz val="11"/>
        <color theme="1"/>
        <rFont val="Calibri"/>
        <family val="2"/>
        <scheme val="minor"/>
      </rPr>
      <t>3</t>
    </r>
    <r>
      <rPr>
        <sz val="11"/>
        <color theme="1"/>
        <rFont val="Calibri"/>
        <family val="2"/>
        <scheme val="minor"/>
      </rPr>
      <t>The Scheme invests minimum 95% of its net assets in physical gold and currently there is no suitable additional benchmark available for the Scheme.</t>
    </r>
  </si>
  <si>
    <t>An open ended fund of fund scheme investing in Invesco Pan European Equity Fund</t>
  </si>
  <si>
    <t>An open ended fund of fund scheme investing in Invesco Global Equity Income Fund</t>
  </si>
  <si>
    <t>An open ended fund of fund scheme investing in Invesco Global Consumer Trends Fund</t>
  </si>
  <si>
    <t>NAV p.u. (Rs.) as on 31 December, 2013</t>
  </si>
  <si>
    <t>To generate capital appreciation by investing predominantly in units of Invesco Pan European Equity Fund, an overseas equity fund which invests primarily in equity securities of European companies with an emphasis on larger companies. The Scheme may, at the discretion of Fund Manager, also invest in units of other similar Overseas Mutual Funds with similar objectives, strategy and attributes which may constitute a significant portion of its net assets.</t>
  </si>
  <si>
    <t>To provide capital appreciation and/or income by investing predominantly in units of Invesco Global Equity Income Fund, an overseas equity fund which invests primarily in equities of companies worldwide. The Scheme may, at the discretion of Fund Manager, also invest in units of other similar Overseas Mutual Funds with similar objectives, strategy and attributes which may constitute a significant portion of its net assets.</t>
  </si>
  <si>
    <t>To provide long-term capital appreciation by investing predominantly in units of Invesco Global Consumer Trends Fund, an overseas fund which invests in an international portfolio of companies predominantly engaged in the design, production or distribution of products and services related to the discretionary consumer needs of individuals.</t>
  </si>
  <si>
    <t>MSCI World Index - Net Dividend</t>
  </si>
  <si>
    <t>MSCI World Consumer Discretionary Index -
Net Dividend</t>
  </si>
  <si>
    <t>Since January 31, 2014</t>
  </si>
  <si>
    <t>Since May 05, 2014</t>
  </si>
  <si>
    <t>Since December 24, 2020</t>
  </si>
  <si>
    <t>MSCI Europe-ND</t>
  </si>
  <si>
    <t>MSCI World Index ND</t>
  </si>
  <si>
    <t>Since Inception</t>
  </si>
  <si>
    <t>Invesco Pan European Equity Fund Accumulated C
(Overseas Mutual Fund Units)</t>
  </si>
  <si>
    <t>Invesco Global Equity Income Fund Accumulated C
(Overseas Mutual Fund Units)</t>
  </si>
  <si>
    <t>Invesco Global Consumer Trends Fund Accumulated S
(Overseas Mutual Fund Units)</t>
  </si>
  <si>
    <r>
      <t xml:space="preserve">3. </t>
    </r>
    <r>
      <rPr>
        <b/>
        <sz val="11"/>
        <color theme="1"/>
        <rFont val="Calibri"/>
        <family val="2"/>
        <scheme val="minor"/>
      </rPr>
      <t>Past performance may or may not be sustained in future.</t>
    </r>
    <r>
      <rPr>
        <sz val="11"/>
        <color theme="1"/>
        <rFont val="Calibri"/>
        <family val="2"/>
        <scheme val="minor"/>
      </rPr>
      <t xml:space="preserve"> The performance details provided herein are of existing plan &amp; Direct plan – Growth Option. Different plans have different expense structure. CAGR – Compounded Annualised Growth Rate</t>
    </r>
  </si>
  <si>
    <t>4. Returns are given only in respect of schemes which have completed 6 months. Scheme which has been in existence for more than six months but less than one year, then simple annualized growth rate of the scheme for the past 6 months has been provided. For calculating returns since inception for open ended debt schemes NAV as on the date of allotment is taken as Rs. 10/-. Since inception date is deemed to be date of allotment. Face value is Rs. 10/-</t>
  </si>
  <si>
    <t>Invesco India - Invesco Pan European Equity Fund of Fund</t>
  </si>
  <si>
    <t>Invesco India - Invesco Global Equity Income Fund of Fund</t>
  </si>
  <si>
    <t>Invesco India - Invesco Global Consumer Trends Fund of Fund</t>
  </si>
  <si>
    <t xml:space="preserve">To generate capital appreciation from a diversified portfolio of Equity and Equity Related Instruments of companies which are selected based on Environmental, Social and Governance (ESG) criteria as defined by our proprietary investment framework. </t>
  </si>
  <si>
    <t>To generate capital appreciation by investing in upto 20 stocks across market capitalization.</t>
  </si>
  <si>
    <t>To generate capital appreciation by investing predominantly in stocks of Smallcap companies.</t>
  </si>
  <si>
    <t>To generate income by investing in a portfolio of debt and money market instruments maturing on or before the date of maturity of the Scheme.</t>
  </si>
  <si>
    <t xml:space="preserve">To generate income by investing in a portfolio of debt and money market instruments maturing on or before the date of maturity of the Scheme. </t>
  </si>
  <si>
    <t>S&amp;P BSE India Infrastructure Index TRI</t>
  </si>
  <si>
    <t>S&amp;P BSE Midcap 150 TRI</t>
  </si>
  <si>
    <t>MSCI Europe - Net Dividend</t>
  </si>
  <si>
    <t>Invesco India Fixed Maturity Plan - Series 31 - Plan D</t>
  </si>
  <si>
    <t>Invesco India Fixed Maturity Plan - Series 33 - Plan B</t>
  </si>
  <si>
    <t>Invesco India Fixed Maturity Plan - Series 33 - Plan D</t>
  </si>
  <si>
    <t>June 20, 2022</t>
  </si>
  <si>
    <t>April 29, 2022</t>
  </si>
  <si>
    <t>June 06,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</si>
</sst>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409]mmmm\ d\,\ yyyy;@"/>
    <numFmt numFmtId="166" formatCode="#,##0.00%"/>
    <numFmt numFmtId="167" formatCode="0.0%"/>
    <numFmt numFmtId="168" formatCode="0.0000"/>
    <numFmt numFmtId="169" formatCode="[$-409]d\-mmm\-yyyy;@"/>
  </numFmts>
  <fonts count="16"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vertAlign val="superscript"/>
      <sz val="11"/>
      <name val="Calibri"/>
      <family val="2"/>
      <scheme val="minor"/>
    </font>
    <font>
      <u/>
      <sz val="11"/>
      <color theme="10"/>
      <name val="Calibri"/>
      <family val="2"/>
      <scheme val="minor"/>
    </font>
    <font>
      <b/>
      <vertAlign val="superscript"/>
      <sz val="11"/>
      <name val="Calibri"/>
      <family val="2"/>
      <scheme val="minor"/>
    </font>
    <font>
      <b/>
      <sz val="11"/>
      <color rgb="FFFF0000"/>
      <name val="Calibri"/>
      <family val="2"/>
      <scheme val="minor"/>
    </font>
    <font>
      <u/>
      <sz val="11"/>
      <name val="Calibri"/>
      <family val="2"/>
      <scheme val="minor"/>
    </font>
    <font>
      <sz val="10"/>
      <color theme="1"/>
      <name val="Verdana"/>
      <family val="2"/>
    </font>
    <font>
      <sz val="9"/>
      <color indexed="72"/>
      <name val="Arial"/>
      <family val="2"/>
    </font>
    <font>
      <b/>
      <sz val="11"/>
      <color theme="1"/>
      <name val="Calibri"/>
      <family val="2"/>
      <scheme val="minor"/>
    </font>
    <font>
      <vertAlign val="superscript"/>
      <sz val="11"/>
      <color theme="1"/>
      <name val="Calibri"/>
      <family val="2"/>
      <scheme val="minor"/>
    </font>
    <font>
      <u/>
      <sz val="11"/>
      <color theme="1"/>
      <name val="Calibri"/>
      <family val="2"/>
      <scheme val="minor"/>
    </font>
    <font>
      <b/>
      <sz val="11"/>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545">
    <xf numFmtId="0" fontId="0" fillId="0" borderId="0" xfId="0"/>
    <xf numFmtId="0" fontId="4" fillId="0" borderId="0" xfId="0" applyFont="1" applyFill="1" applyAlignment="1">
      <alignment vertical="center"/>
    </xf>
    <xf numFmtId="0" fontId="3" fillId="0" borderId="0" xfId="0" applyFont="1" applyFill="1" applyAlignment="1">
      <alignment vertical="center"/>
    </xf>
    <xf numFmtId="0" fontId="3" fillId="2" borderId="4" xfId="0" applyFont="1" applyFill="1" applyBorder="1" applyAlignment="1">
      <alignment vertical="center"/>
    </xf>
    <xf numFmtId="0" fontId="4" fillId="2" borderId="4" xfId="0" applyFont="1" applyFill="1" applyBorder="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2" fillId="0" borderId="0" xfId="0" applyFont="1" applyFill="1" applyAlignment="1">
      <alignment vertical="center"/>
    </xf>
    <xf numFmtId="0" fontId="2" fillId="3" borderId="4" xfId="0" applyFont="1" applyFill="1" applyBorder="1" applyAlignment="1">
      <alignment horizontal="center" vertical="center"/>
    </xf>
    <xf numFmtId="0" fontId="9" fillId="2" borderId="4" xfId="2" applyFont="1" applyFill="1" applyBorder="1" applyAlignment="1">
      <alignment vertical="center" wrapText="1"/>
    </xf>
    <xf numFmtId="0" fontId="4" fillId="2" borderId="4" xfId="0" applyFont="1" applyFill="1" applyBorder="1" applyAlignment="1">
      <alignment vertical="center" wrapText="1"/>
    </xf>
    <xf numFmtId="0" fontId="3" fillId="0" borderId="4" xfId="0" applyFont="1" applyBorder="1" applyAlignment="1">
      <alignment vertical="center"/>
    </xf>
    <xf numFmtId="0" fontId="4" fillId="0" borderId="4" xfId="0" applyFont="1" applyBorder="1" applyAlignment="1">
      <alignment vertical="center"/>
    </xf>
    <xf numFmtId="0" fontId="3" fillId="0" borderId="4" xfId="0" applyFont="1" applyBorder="1" applyAlignment="1">
      <alignment vertical="center" wrapText="1"/>
    </xf>
    <xf numFmtId="0" fontId="4" fillId="0" borderId="4" xfId="0" applyFont="1" applyBorder="1"/>
    <xf numFmtId="0" fontId="4" fillId="0" borderId="0" xfId="0" applyFont="1" applyAlignment="1">
      <alignment vertical="center"/>
    </xf>
    <xf numFmtId="0" fontId="4" fillId="3" borderId="4" xfId="0" applyFont="1" applyFill="1" applyBorder="1" applyAlignment="1">
      <alignment vertical="center"/>
    </xf>
    <xf numFmtId="0" fontId="4" fillId="3" borderId="0" xfId="0" applyFont="1" applyFill="1" applyAlignment="1">
      <alignment vertical="center"/>
    </xf>
    <xf numFmtId="0" fontId="2" fillId="0" borderId="0" xfId="0" applyFont="1" applyAlignment="1">
      <alignment vertical="center"/>
    </xf>
    <xf numFmtId="0" fontId="4" fillId="3" borderId="4" xfId="0" applyFont="1" applyFill="1" applyBorder="1" applyAlignment="1">
      <alignment horizontal="center" vertical="center"/>
    </xf>
    <xf numFmtId="0" fontId="4" fillId="3" borderId="4" xfId="0" applyFont="1" applyFill="1" applyBorder="1" applyAlignment="1">
      <alignment horizontal="center" vertical="center" wrapText="1"/>
    </xf>
    <xf numFmtId="165" fontId="4" fillId="3" borderId="4" xfId="0" applyNumberFormat="1" applyFont="1" applyFill="1" applyBorder="1" applyAlignment="1">
      <alignment horizontal="center" vertical="center"/>
    </xf>
    <xf numFmtId="2" fontId="4" fillId="3" borderId="4" xfId="0" applyNumberFormat="1" applyFont="1" applyFill="1" applyBorder="1" applyAlignment="1">
      <alignment horizontal="center" vertical="center"/>
    </xf>
    <xf numFmtId="2" fontId="2" fillId="3" borderId="4" xfId="0" applyNumberFormat="1" applyFont="1" applyFill="1" applyBorder="1" applyAlignment="1">
      <alignment horizontal="center" vertical="center"/>
    </xf>
    <xf numFmtId="0" fontId="2" fillId="3" borderId="4" xfId="0" applyFont="1" applyFill="1" applyBorder="1" applyAlignment="1">
      <alignment vertical="center"/>
    </xf>
    <xf numFmtId="2" fontId="4" fillId="2" borderId="4" xfId="0" applyNumberFormat="1" applyFont="1" applyFill="1" applyBorder="1" applyAlignment="1">
      <alignment horizontal="center" vertical="center" wrapText="1"/>
    </xf>
    <xf numFmtId="2" fontId="4" fillId="0" borderId="4" xfId="0" applyNumberFormat="1" applyFont="1" applyFill="1" applyBorder="1" applyAlignment="1">
      <alignment horizontal="center" vertical="center" wrapText="1"/>
    </xf>
    <xf numFmtId="2" fontId="5" fillId="3"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0" borderId="4" xfId="1" applyNumberFormat="1" applyFont="1" applyBorder="1" applyAlignment="1">
      <alignment horizontal="center" vertical="center" wrapText="1"/>
    </xf>
    <xf numFmtId="0" fontId="4" fillId="0" borderId="4" xfId="0" applyFont="1" applyBorder="1" applyAlignment="1">
      <alignment horizontal="center" vertical="center" wrapText="1"/>
    </xf>
    <xf numFmtId="10" fontId="4" fillId="3" borderId="4" xfId="0" applyNumberFormat="1" applyFont="1" applyFill="1" applyBorder="1" applyAlignment="1">
      <alignment horizontal="center" vertical="center"/>
    </xf>
    <xf numFmtId="10" fontId="2" fillId="3" borderId="4" xfId="0" applyNumberFormat="1" applyFont="1" applyFill="1" applyBorder="1" applyAlignment="1">
      <alignment horizontal="center" vertical="center"/>
    </xf>
    <xf numFmtId="0" fontId="4" fillId="0" borderId="0" xfId="0" applyFont="1" applyFill="1" applyAlignment="1">
      <alignment horizontal="center" vertical="center"/>
    </xf>
    <xf numFmtId="0" fontId="4" fillId="0" borderId="0" xfId="0" applyFont="1" applyAlignment="1">
      <alignment horizontal="center" vertical="center"/>
    </xf>
    <xf numFmtId="0" fontId="2" fillId="3" borderId="4" xfId="0" applyFont="1" applyFill="1" applyBorder="1" applyAlignment="1">
      <alignment vertical="center" wrapText="1"/>
    </xf>
    <xf numFmtId="0" fontId="4" fillId="0" borderId="4" xfId="0" applyFont="1" applyBorder="1" applyAlignment="1">
      <alignment horizontal="center" vertical="center"/>
    </xf>
    <xf numFmtId="0" fontId="4" fillId="0" borderId="0" xfId="0" applyFont="1" applyBorder="1" applyAlignment="1">
      <alignment vertical="center"/>
    </xf>
    <xf numFmtId="0" fontId="3" fillId="0" borderId="6" xfId="0" applyFont="1" applyBorder="1" applyAlignment="1">
      <alignment vertical="center"/>
    </xf>
    <xf numFmtId="10" fontId="2" fillId="2" borderId="6" xfId="0" applyNumberFormat="1" applyFont="1" applyFill="1" applyBorder="1" applyAlignment="1">
      <alignment horizontal="center" vertical="center"/>
    </xf>
    <xf numFmtId="10" fontId="2" fillId="3" borderId="6"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2" fillId="3" borderId="6" xfId="0" applyFont="1" applyFill="1" applyBorder="1" applyAlignment="1">
      <alignment vertical="center"/>
    </xf>
    <xf numFmtId="0" fontId="4" fillId="3" borderId="4" xfId="0" applyNumberFormat="1" applyFont="1" applyFill="1" applyBorder="1" applyAlignment="1">
      <alignment horizontal="center" vertical="center"/>
    </xf>
    <xf numFmtId="0" fontId="2" fillId="3" borderId="4" xfId="0" applyNumberFormat="1" applyFont="1" applyFill="1" applyBorder="1" applyAlignment="1">
      <alignment horizontal="center" vertical="center"/>
    </xf>
    <xf numFmtId="0" fontId="11" fillId="0" borderId="4" xfId="1" applyNumberFormat="1" applyFont="1" applyFill="1" applyBorder="1" applyAlignment="1" applyProtection="1">
      <alignment horizontal="center" vertical="center" wrapText="1"/>
    </xf>
    <xf numFmtId="0" fontId="4" fillId="3" borderId="4" xfId="1" applyNumberFormat="1" applyFont="1" applyFill="1" applyBorder="1" applyAlignment="1">
      <alignment horizontal="center" vertical="center"/>
    </xf>
    <xf numFmtId="0" fontId="2" fillId="3" borderId="4" xfId="1" applyNumberFormat="1" applyFont="1" applyFill="1" applyBorder="1" applyAlignment="1">
      <alignment horizontal="center" vertical="center"/>
    </xf>
    <xf numFmtId="0" fontId="4" fillId="3" borderId="4" xfId="0" applyNumberFormat="1" applyFont="1" applyFill="1" applyBorder="1" applyAlignment="1">
      <alignment horizontal="center" vertical="center" wrapText="1"/>
    </xf>
    <xf numFmtId="0" fontId="4" fillId="3" borderId="4" xfId="1" applyNumberFormat="1" applyFont="1" applyFill="1" applyBorder="1" applyAlignment="1">
      <alignment horizontal="center" vertical="center" wrapText="1"/>
    </xf>
    <xf numFmtId="0" fontId="2" fillId="3" borderId="4" xfId="1" applyNumberFormat="1" applyFont="1" applyFill="1" applyBorder="1" applyAlignment="1">
      <alignment horizontal="center" vertical="center" wrapText="1"/>
    </xf>
    <xf numFmtId="0" fontId="2" fillId="3" borderId="4" xfId="0" applyNumberFormat="1" applyFont="1" applyFill="1" applyBorder="1" applyAlignment="1">
      <alignment vertical="center" wrapText="1"/>
    </xf>
    <xf numFmtId="0" fontId="4" fillId="0" borderId="4" xfId="0" applyNumberFormat="1" applyFont="1" applyBorder="1" applyAlignment="1">
      <alignment horizontal="center" vertical="center" wrapText="1"/>
    </xf>
    <xf numFmtId="0" fontId="4" fillId="0" borderId="8" xfId="1" applyNumberFormat="1" applyFont="1" applyBorder="1" applyAlignment="1">
      <alignment horizontal="center" vertical="center" wrapText="1"/>
    </xf>
    <xf numFmtId="0" fontId="4" fillId="0" borderId="9" xfId="1" applyNumberFormat="1" applyFont="1" applyBorder="1" applyAlignment="1">
      <alignment horizontal="center" vertical="center" wrapText="1"/>
    </xf>
    <xf numFmtId="0" fontId="2" fillId="3" borderId="4"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0" borderId="4" xfId="0" applyNumberFormat="1" applyFont="1" applyFill="1" applyBorder="1" applyAlignment="1">
      <alignment vertical="center" wrapText="1"/>
    </xf>
    <xf numFmtId="0" fontId="3" fillId="3" borderId="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0" fontId="4" fillId="0" borderId="0" xfId="0" applyNumberFormat="1" applyFont="1" applyBorder="1" applyAlignment="1">
      <alignment vertical="center"/>
    </xf>
    <xf numFmtId="0" fontId="2" fillId="3" borderId="0" xfId="0" applyNumberFormat="1" applyFont="1" applyFill="1" applyBorder="1" applyAlignment="1">
      <alignment horizontal="center" vertical="center"/>
    </xf>
    <xf numFmtId="0" fontId="2" fillId="3" borderId="0" xfId="0" applyNumberFormat="1" applyFont="1" applyFill="1" applyBorder="1" applyAlignment="1">
      <alignment vertical="center"/>
    </xf>
    <xf numFmtId="10" fontId="2" fillId="2" borderId="6" xfId="0" applyNumberFormat="1" applyFont="1" applyFill="1" applyBorder="1" applyAlignment="1">
      <alignment horizontal="left" vertical="center" wrapText="1"/>
    </xf>
    <xf numFmtId="10" fontId="2" fillId="2" borderId="6" xfId="0" applyNumberFormat="1" applyFont="1" applyFill="1" applyBorder="1" applyAlignment="1">
      <alignment horizontal="left" vertical="center"/>
    </xf>
    <xf numFmtId="0" fontId="4" fillId="0" borderId="10" xfId="0" applyFont="1" applyBorder="1" applyAlignment="1">
      <alignment vertical="center" wrapText="1"/>
    </xf>
    <xf numFmtId="10" fontId="2" fillId="3" borderId="10" xfId="0" applyNumberFormat="1" applyFont="1" applyFill="1" applyBorder="1" applyAlignment="1">
      <alignment horizontal="center" vertical="center"/>
    </xf>
    <xf numFmtId="0" fontId="2" fillId="3" borderId="10" xfId="0" applyFont="1" applyFill="1" applyBorder="1" applyAlignment="1">
      <alignment vertical="center"/>
    </xf>
    <xf numFmtId="165" fontId="4" fillId="2" borderId="4" xfId="0" applyNumberFormat="1" applyFont="1" applyFill="1" applyBorder="1" applyAlignment="1">
      <alignment vertical="center"/>
    </xf>
    <xf numFmtId="165" fontId="3" fillId="2" borderId="4" xfId="0" applyNumberFormat="1" applyFont="1" applyFill="1" applyBorder="1" applyAlignment="1">
      <alignment vertical="center"/>
    </xf>
    <xf numFmtId="3" fontId="2" fillId="3" borderId="4" xfId="0" applyNumberFormat="1" applyFont="1" applyFill="1" applyBorder="1" applyAlignment="1">
      <alignment horizontal="center" vertical="top" wrapText="1"/>
    </xf>
    <xf numFmtId="2" fontId="2" fillId="3" borderId="4" xfId="0" applyNumberFormat="1" applyFont="1" applyFill="1" applyBorder="1" applyAlignment="1">
      <alignment horizontal="center" vertical="top" wrapText="1"/>
    </xf>
    <xf numFmtId="0" fontId="2" fillId="2" borderId="0" xfId="0" applyFont="1" applyFill="1" applyBorder="1" applyAlignment="1">
      <alignment vertical="center"/>
    </xf>
    <xf numFmtId="0" fontId="2" fillId="2" borderId="0" xfId="0" applyNumberFormat="1" applyFont="1" applyFill="1" applyBorder="1" applyAlignment="1">
      <alignment vertical="center"/>
    </xf>
    <xf numFmtId="0" fontId="4" fillId="0" borderId="0" xfId="0" applyFont="1" applyFill="1" applyBorder="1" applyAlignment="1">
      <alignment vertical="center"/>
    </xf>
    <xf numFmtId="3" fontId="4" fillId="2" borderId="4" xfId="0" applyNumberFormat="1" applyFont="1" applyFill="1" applyBorder="1" applyAlignment="1">
      <alignment horizontal="center" vertical="top" wrapText="1"/>
    </xf>
    <xf numFmtId="3" fontId="4" fillId="0" borderId="4" xfId="1" applyNumberFormat="1" applyFont="1" applyFill="1" applyBorder="1" applyAlignment="1">
      <alignment horizontal="center" vertical="top" wrapText="1"/>
    </xf>
    <xf numFmtId="3" fontId="4" fillId="3" borderId="4" xfId="1" applyNumberFormat="1" applyFont="1" applyFill="1" applyBorder="1" applyAlignment="1">
      <alignment horizontal="center" vertical="top" wrapText="1"/>
    </xf>
    <xf numFmtId="3" fontId="0" fillId="0" borderId="4" xfId="0" applyNumberFormat="1" applyFont="1" applyFill="1" applyBorder="1" applyAlignment="1">
      <alignment horizontal="center" vertical="top" wrapText="1"/>
    </xf>
    <xf numFmtId="3" fontId="2" fillId="3" borderId="4" xfId="1" applyNumberFormat="1" applyFont="1" applyFill="1" applyBorder="1" applyAlignment="1">
      <alignment horizontal="center" vertical="top" wrapText="1"/>
    </xf>
    <xf numFmtId="3" fontId="4" fillId="0" borderId="4" xfId="1" applyNumberFormat="1" applyFont="1" applyBorder="1" applyAlignment="1">
      <alignment horizontal="center" vertical="top" wrapText="1"/>
    </xf>
    <xf numFmtId="3" fontId="2" fillId="2" borderId="4" xfId="0" applyNumberFormat="1" applyFont="1" applyFill="1" applyBorder="1" applyAlignment="1">
      <alignment horizontal="center" vertical="top" wrapText="1"/>
    </xf>
    <xf numFmtId="3" fontId="10" fillId="0" borderId="4" xfId="0" applyNumberFormat="1" applyFont="1" applyFill="1" applyBorder="1" applyAlignment="1">
      <alignment horizontal="center" vertical="top" wrapText="1"/>
    </xf>
    <xf numFmtId="3" fontId="2" fillId="0" borderId="4" xfId="1" applyNumberFormat="1" applyFont="1" applyBorder="1" applyAlignment="1">
      <alignment horizontal="center" vertical="top" wrapText="1"/>
    </xf>
    <xf numFmtId="2" fontId="0" fillId="0" borderId="4" xfId="0" applyNumberFormat="1" applyFont="1" applyFill="1" applyBorder="1" applyAlignment="1">
      <alignment horizontal="center" vertical="top" wrapText="1"/>
    </xf>
    <xf numFmtId="0" fontId="4" fillId="2" borderId="0" xfId="0" applyFont="1" applyFill="1" applyBorder="1" applyAlignment="1">
      <alignment vertical="center"/>
    </xf>
    <xf numFmtId="165" fontId="4" fillId="2" borderId="0" xfId="0" applyNumberFormat="1" applyFont="1" applyFill="1" applyBorder="1" applyAlignment="1">
      <alignment vertical="center"/>
    </xf>
    <xf numFmtId="10" fontId="4" fillId="2" borderId="0" xfId="0" applyNumberFormat="1" applyFont="1" applyFill="1" applyBorder="1" applyAlignment="1">
      <alignment vertical="center"/>
    </xf>
    <xf numFmtId="0" fontId="4" fillId="2" borderId="0" xfId="0" applyFont="1" applyFill="1" applyBorder="1" applyAlignment="1">
      <alignment vertical="center" wrapText="1"/>
    </xf>
    <xf numFmtId="0" fontId="4" fillId="0" borderId="0" xfId="0" applyNumberFormat="1" applyFont="1" applyFill="1" applyBorder="1" applyAlignment="1">
      <alignment vertical="center" wrapText="1"/>
    </xf>
    <xf numFmtId="0" fontId="4" fillId="0" borderId="4" xfId="0" applyFont="1" applyBorder="1" applyAlignment="1">
      <alignment horizontal="center" vertical="center"/>
    </xf>
    <xf numFmtId="2" fontId="4" fillId="2" borderId="4" xfId="0" applyNumberFormat="1" applyFont="1" applyFill="1" applyBorder="1" applyAlignment="1">
      <alignment horizontal="center" vertical="center"/>
    </xf>
    <xf numFmtId="0" fontId="4" fillId="3" borderId="4" xfId="0" applyFont="1" applyFill="1" applyBorder="1" applyAlignment="1">
      <alignment horizontal="left" vertical="center" wrapText="1"/>
    </xf>
    <xf numFmtId="0" fontId="4" fillId="3" borderId="4" xfId="0" applyFont="1" applyFill="1" applyBorder="1" applyAlignment="1">
      <alignment horizontal="left" vertical="center"/>
    </xf>
    <xf numFmtId="0" fontId="2" fillId="2" borderId="7" xfId="0" applyFont="1" applyFill="1" applyBorder="1" applyAlignment="1">
      <alignment horizontal="center" vertical="center"/>
    </xf>
    <xf numFmtId="10" fontId="4" fillId="2" borderId="4" xfId="0" applyNumberFormat="1" applyFont="1" applyFill="1" applyBorder="1" applyAlignment="1">
      <alignment horizontal="center" vertical="center"/>
    </xf>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2" fillId="0" borderId="4" xfId="0" applyFont="1" applyBorder="1" applyAlignment="1">
      <alignment vertical="center"/>
    </xf>
    <xf numFmtId="10" fontId="4" fillId="0" borderId="4" xfId="1" applyNumberFormat="1" applyFont="1" applyBorder="1" applyAlignment="1">
      <alignment horizontal="center" vertical="center" wrapText="1"/>
    </xf>
    <xf numFmtId="10" fontId="3" fillId="0" borderId="4" xfId="0" applyNumberFormat="1" applyFont="1" applyFill="1" applyBorder="1" applyAlignment="1">
      <alignment horizontal="center" vertical="center" wrapText="1"/>
    </xf>
    <xf numFmtId="166" fontId="4" fillId="0" borderId="4" xfId="1" applyNumberFormat="1" applyFont="1" applyBorder="1" applyAlignment="1">
      <alignment horizontal="center" vertical="center" wrapText="1"/>
    </xf>
    <xf numFmtId="166" fontId="3" fillId="0" borderId="4" xfId="0" applyNumberFormat="1" applyFont="1" applyFill="1" applyBorder="1" applyAlignment="1">
      <alignment horizontal="center" vertical="center" wrapText="1"/>
    </xf>
    <xf numFmtId="10" fontId="11" fillId="0" borderId="4" xfId="1" applyNumberFormat="1" applyFont="1" applyFill="1" applyBorder="1" applyAlignment="1" applyProtection="1">
      <alignment horizontal="center" vertical="center" wrapText="1"/>
    </xf>
    <xf numFmtId="10" fontId="3" fillId="0" borderId="4" xfId="0" applyNumberFormat="1" applyFont="1" applyFill="1" applyBorder="1" applyAlignment="1">
      <alignment horizontal="center" vertical="center"/>
    </xf>
    <xf numFmtId="2" fontId="0" fillId="0" borderId="4" xfId="0" applyNumberFormat="1" applyFont="1" applyBorder="1" applyAlignment="1">
      <alignment horizontal="center" vertical="top" wrapText="1"/>
    </xf>
    <xf numFmtId="10" fontId="0" fillId="0" borderId="4" xfId="1" applyNumberFormat="1" applyFont="1" applyFill="1" applyBorder="1" applyAlignment="1">
      <alignment horizontal="center" vertical="top" wrapText="1"/>
    </xf>
    <xf numFmtId="3" fontId="0" fillId="2" borderId="4" xfId="0" applyNumberFormat="1" applyFont="1" applyFill="1" applyBorder="1" applyAlignment="1">
      <alignment horizontal="center" vertical="top" wrapText="1"/>
    </xf>
    <xf numFmtId="3" fontId="0" fillId="0" borderId="4" xfId="1" applyNumberFormat="1" applyFont="1" applyFill="1" applyBorder="1" applyAlignment="1">
      <alignment horizontal="center" vertical="top" wrapText="1"/>
    </xf>
    <xf numFmtId="0" fontId="0" fillId="2" borderId="4" xfId="0" applyFont="1" applyFill="1" applyBorder="1" applyAlignment="1">
      <alignment horizontal="left" vertical="center" wrapText="1"/>
    </xf>
    <xf numFmtId="0" fontId="0" fillId="0" borderId="4" xfId="0" applyFont="1" applyBorder="1"/>
    <xf numFmtId="0" fontId="0" fillId="0" borderId="4" xfId="0" applyFont="1" applyFill="1" applyBorder="1"/>
    <xf numFmtId="0" fontId="0" fillId="0" borderId="4" xfId="0" applyFont="1" applyBorder="1" applyAlignment="1">
      <alignment vertical="center"/>
    </xf>
    <xf numFmtId="0" fontId="0" fillId="2" borderId="4" xfId="0" applyFont="1" applyFill="1" applyBorder="1" applyAlignment="1">
      <alignment vertical="center" wrapText="1"/>
    </xf>
    <xf numFmtId="0" fontId="0" fillId="0" borderId="4" xfId="0" applyFont="1" applyFill="1" applyBorder="1" applyAlignment="1">
      <alignment vertical="center"/>
    </xf>
    <xf numFmtId="10" fontId="0" fillId="0" borderId="4" xfId="0" applyNumberFormat="1" applyFont="1" applyBorder="1" applyAlignment="1">
      <alignment horizontal="center" vertical="top"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2" fontId="0" fillId="2" borderId="4" xfId="0" applyNumberFormat="1" applyFont="1" applyFill="1" applyBorder="1" applyAlignment="1">
      <alignment horizontal="center" vertical="center"/>
    </xf>
    <xf numFmtId="2" fontId="0" fillId="0" borderId="4" xfId="1" applyNumberFormat="1" applyFont="1" applyFill="1" applyBorder="1" applyAlignment="1">
      <alignment horizontal="center" vertical="top" wrapText="1"/>
    </xf>
    <xf numFmtId="10" fontId="10" fillId="0" borderId="12" xfId="0" applyNumberFormat="1" applyFont="1" applyFill="1" applyBorder="1" applyAlignment="1">
      <alignment horizontal="center" vertical="top" wrapText="1"/>
    </xf>
    <xf numFmtId="10" fontId="0" fillId="0" borderId="4" xfId="0" applyNumberFormat="1" applyFont="1" applyFill="1" applyBorder="1" applyAlignment="1">
      <alignment horizontal="center" vertical="top" wrapText="1"/>
    </xf>
    <xf numFmtId="3" fontId="0" fillId="0" borderId="4" xfId="1" applyNumberFormat="1" applyFont="1" applyBorder="1" applyAlignment="1">
      <alignment horizontal="center" vertical="top" wrapText="1"/>
    </xf>
    <xf numFmtId="10" fontId="0" fillId="2" borderId="4" xfId="0" applyNumberFormat="1" applyFont="1" applyFill="1" applyBorder="1" applyAlignment="1">
      <alignment horizontal="center" vertical="top" wrapText="1"/>
    </xf>
    <xf numFmtId="10" fontId="0" fillId="0" borderId="4" xfId="1" applyNumberFormat="1" applyFont="1" applyBorder="1" applyAlignment="1">
      <alignment horizontal="center" vertical="top" wrapText="1"/>
    </xf>
    <xf numFmtId="2" fontId="0" fillId="2" borderId="4" xfId="0" applyNumberFormat="1" applyFont="1" applyFill="1" applyBorder="1" applyAlignment="1">
      <alignment horizontal="center" vertical="center" wrapText="1"/>
    </xf>
    <xf numFmtId="2" fontId="0" fillId="2" borderId="4" xfId="0" applyNumberFormat="1" applyFont="1" applyFill="1" applyBorder="1" applyAlignment="1">
      <alignment horizontal="center" vertical="top" wrapText="1"/>
    </xf>
    <xf numFmtId="2" fontId="0" fillId="3" borderId="4" xfId="0" applyNumberFormat="1" applyFont="1" applyFill="1" applyBorder="1" applyAlignment="1">
      <alignment horizontal="center" vertical="top" wrapText="1"/>
    </xf>
    <xf numFmtId="2" fontId="13" fillId="3" borderId="4" xfId="0" applyNumberFormat="1" applyFont="1" applyFill="1" applyBorder="1" applyAlignment="1">
      <alignment horizontal="center" vertical="top" wrapText="1"/>
    </xf>
    <xf numFmtId="0" fontId="0" fillId="2" borderId="0" xfId="0" applyFont="1" applyFill="1" applyBorder="1" applyAlignment="1">
      <alignment vertical="center"/>
    </xf>
    <xf numFmtId="2" fontId="0" fillId="3" borderId="4" xfId="1" applyNumberFormat="1" applyFont="1" applyFill="1" applyBorder="1" applyAlignment="1">
      <alignment horizontal="center" vertical="top" wrapText="1"/>
    </xf>
    <xf numFmtId="0" fontId="0" fillId="0" borderId="0" xfId="0" applyFont="1" applyFill="1" applyBorder="1" applyAlignment="1">
      <alignment vertical="center"/>
    </xf>
    <xf numFmtId="10" fontId="0" fillId="2" borderId="0" xfId="0" applyNumberFormat="1" applyFont="1" applyFill="1" applyBorder="1" applyAlignment="1">
      <alignment vertical="center"/>
    </xf>
    <xf numFmtId="2" fontId="0" fillId="3" borderId="4" xfId="0" applyNumberFormat="1" applyFont="1" applyFill="1" applyBorder="1" applyAlignment="1">
      <alignment horizontal="center" vertical="center"/>
    </xf>
    <xf numFmtId="10" fontId="0" fillId="3" borderId="4" xfId="0" applyNumberFormat="1" applyFont="1" applyFill="1" applyBorder="1" applyAlignment="1">
      <alignment vertical="center"/>
    </xf>
    <xf numFmtId="3" fontId="0" fillId="3" borderId="4" xfId="0" applyNumberFormat="1" applyFont="1" applyFill="1" applyBorder="1" applyAlignment="1">
      <alignment horizontal="center" vertical="top" wrapText="1"/>
    </xf>
    <xf numFmtId="3" fontId="0" fillId="2" borderId="0" xfId="0" applyNumberFormat="1" applyFont="1" applyFill="1" applyBorder="1" applyAlignment="1">
      <alignment horizontal="center" vertical="center"/>
    </xf>
    <xf numFmtId="3" fontId="0" fillId="3" borderId="4" xfId="1" applyNumberFormat="1" applyFont="1" applyFill="1" applyBorder="1" applyAlignment="1">
      <alignment horizontal="center" vertical="top" wrapText="1"/>
    </xf>
    <xf numFmtId="3" fontId="0" fillId="0" borderId="4" xfId="0" applyNumberFormat="1" applyFont="1" applyBorder="1" applyAlignment="1">
      <alignment horizontal="center" vertical="top" wrapText="1"/>
    </xf>
    <xf numFmtId="10" fontId="0" fillId="0" borderId="0" xfId="0" applyNumberFormat="1" applyFont="1" applyFill="1" applyBorder="1" applyAlignment="1">
      <alignment vertical="center"/>
    </xf>
    <xf numFmtId="0" fontId="8" fillId="2" borderId="0" xfId="0" applyFont="1" applyFill="1" applyAlignment="1">
      <alignment horizontal="left"/>
    </xf>
    <xf numFmtId="0" fontId="2" fillId="2" borderId="0" xfId="0" applyFont="1" applyFill="1"/>
    <xf numFmtId="0" fontId="2" fillId="2" borderId="0" xfId="0" applyFont="1" applyFill="1" applyAlignment="1">
      <alignment vertical="center"/>
    </xf>
    <xf numFmtId="0" fontId="2" fillId="3" borderId="8" xfId="0" applyFont="1" applyFill="1" applyBorder="1" applyAlignment="1">
      <alignment horizontal="center" vertical="center" wrapText="1"/>
    </xf>
    <xf numFmtId="165" fontId="2" fillId="3" borderId="4" xfId="0" applyNumberFormat="1" applyFont="1" applyFill="1" applyBorder="1" applyAlignment="1">
      <alignment vertical="center"/>
    </xf>
    <xf numFmtId="0" fontId="3" fillId="2" borderId="0" xfId="0" applyFont="1" applyFill="1" applyAlignment="1">
      <alignment vertical="center"/>
    </xf>
    <xf numFmtId="0" fontId="2" fillId="3" borderId="8" xfId="0" applyFont="1" applyFill="1" applyBorder="1" applyAlignment="1">
      <alignment vertical="center"/>
    </xf>
    <xf numFmtId="165" fontId="2" fillId="2" borderId="0" xfId="0" applyNumberFormat="1" applyFont="1" applyFill="1" applyAlignment="1">
      <alignment vertical="center"/>
    </xf>
    <xf numFmtId="165" fontId="2" fillId="3" borderId="4" xfId="0" applyNumberFormat="1" applyFont="1" applyFill="1" applyBorder="1" applyAlignment="1">
      <alignment vertical="center" wrapText="1"/>
    </xf>
    <xf numFmtId="165" fontId="2" fillId="3" borderId="8" xfId="0" applyNumberFormat="1" applyFont="1" applyFill="1" applyBorder="1" applyAlignment="1">
      <alignment vertical="center"/>
    </xf>
    <xf numFmtId="0" fontId="3" fillId="2" borderId="4" xfId="0" applyFont="1" applyFill="1" applyBorder="1" applyAlignment="1">
      <alignment vertical="center" wrapText="1"/>
    </xf>
    <xf numFmtId="0" fontId="2" fillId="3" borderId="4" xfId="0" applyFont="1" applyFill="1" applyBorder="1" applyAlignment="1">
      <alignment horizontal="center" vertical="center" wrapText="1"/>
    </xf>
    <xf numFmtId="0" fontId="2" fillId="3" borderId="0" xfId="0" applyFont="1" applyFill="1" applyAlignment="1">
      <alignment vertical="center"/>
    </xf>
    <xf numFmtId="168" fontId="2" fillId="3" borderId="4" xfId="0" applyNumberFormat="1" applyFont="1" applyFill="1" applyBorder="1" applyAlignment="1">
      <alignment horizontal="center" vertical="center" wrapText="1"/>
    </xf>
    <xf numFmtId="0" fontId="4" fillId="0" borderId="13" xfId="0" applyFont="1" applyBorder="1" applyAlignment="1">
      <alignment horizontal="center" vertical="center" wrapText="1"/>
    </xf>
    <xf numFmtId="49" fontId="2" fillId="3" borderId="4" xfId="0" applyNumberFormat="1" applyFont="1" applyFill="1" applyBorder="1" applyAlignment="1">
      <alignment horizontal="center" vertical="center" wrapText="1"/>
    </xf>
    <xf numFmtId="49" fontId="2" fillId="3" borderId="4" xfId="1" applyNumberFormat="1" applyFont="1" applyFill="1" applyBorder="1" applyAlignment="1">
      <alignment horizontal="center" vertical="center"/>
    </xf>
    <xf numFmtId="49" fontId="2" fillId="3" borderId="4" xfId="0" applyNumberFormat="1" applyFont="1" applyFill="1" applyBorder="1" applyAlignment="1">
      <alignment horizontal="center" vertical="center"/>
    </xf>
    <xf numFmtId="10" fontId="2" fillId="2" borderId="0" xfId="0" applyNumberFormat="1" applyFont="1" applyFill="1" applyAlignment="1">
      <alignment vertical="center"/>
    </xf>
    <xf numFmtId="0" fontId="0" fillId="0" borderId="4" xfId="0" applyBorder="1" applyAlignment="1">
      <alignment vertical="center"/>
    </xf>
    <xf numFmtId="2" fontId="0" fillId="0" borderId="4" xfId="0" applyNumberFormat="1" applyBorder="1" applyAlignment="1">
      <alignment horizontal="center" vertical="top" wrapText="1"/>
    </xf>
    <xf numFmtId="3" fontId="4" fillId="0" borderId="4" xfId="0" applyNumberFormat="1" applyFont="1" applyBorder="1" applyAlignment="1">
      <alignment horizontal="center" vertical="top" wrapText="1"/>
    </xf>
    <xf numFmtId="3" fontId="0" fillId="0" borderId="4" xfId="0" applyNumberFormat="1" applyBorder="1" applyAlignment="1">
      <alignment horizontal="center" vertical="top" wrapText="1"/>
    </xf>
    <xf numFmtId="0" fontId="3" fillId="2" borderId="4" xfId="2" applyFont="1" applyFill="1" applyBorder="1" applyAlignment="1">
      <alignment vertical="center" wrapText="1"/>
    </xf>
    <xf numFmtId="0" fontId="3" fillId="0" borderId="4" xfId="0" applyFont="1" applyBorder="1" applyAlignment="1">
      <alignment horizontal="center" vertical="center" wrapText="1"/>
    </xf>
    <xf numFmtId="0" fontId="4" fillId="0" borderId="8" xfId="0" applyFont="1" applyBorder="1" applyAlignment="1">
      <alignment horizontal="center" vertical="center" wrapText="1"/>
    </xf>
    <xf numFmtId="4" fontId="2" fillId="3" borderId="4" xfId="0" applyNumberFormat="1" applyFont="1" applyFill="1" applyBorder="1" applyAlignment="1">
      <alignment vertical="center"/>
    </xf>
    <xf numFmtId="2" fontId="2" fillId="3" borderId="8" xfId="0" applyNumberFormat="1" applyFont="1" applyFill="1" applyBorder="1" applyAlignment="1">
      <alignment vertical="center"/>
    </xf>
    <xf numFmtId="10" fontId="4" fillId="3" borderId="4" xfId="0" applyNumberFormat="1" applyFont="1" applyFill="1" applyBorder="1" applyAlignment="1">
      <alignment vertical="center"/>
    </xf>
    <xf numFmtId="0" fontId="4" fillId="2" borderId="0" xfId="0" applyFont="1" applyFill="1" applyAlignment="1">
      <alignment vertical="center"/>
    </xf>
    <xf numFmtId="0" fontId="2" fillId="3" borderId="8" xfId="0" applyFont="1" applyFill="1" applyBorder="1" applyAlignment="1">
      <alignment horizontal="center" vertical="center"/>
    </xf>
    <xf numFmtId="0" fontId="4" fillId="3" borderId="8" xfId="0" applyFont="1" applyFill="1" applyBorder="1" applyAlignment="1">
      <alignment horizontal="center" vertical="center"/>
    </xf>
    <xf numFmtId="10" fontId="4" fillId="3" borderId="0" xfId="0" applyNumberFormat="1" applyFont="1" applyFill="1" applyAlignment="1">
      <alignment vertical="center"/>
    </xf>
    <xf numFmtId="0" fontId="4" fillId="0" borderId="6" xfId="0" applyFont="1" applyBorder="1" applyAlignment="1">
      <alignment vertical="center" wrapText="1"/>
    </xf>
    <xf numFmtId="10" fontId="2" fillId="3" borderId="6" xfId="0" applyNumberFormat="1" applyFont="1" applyFill="1" applyBorder="1" applyAlignment="1">
      <alignment vertical="center"/>
    </xf>
    <xf numFmtId="0" fontId="2" fillId="0" borderId="6" xfId="0" applyFont="1" applyBorder="1" applyAlignment="1">
      <alignment vertical="center"/>
    </xf>
    <xf numFmtId="0" fontId="3" fillId="0" borderId="0" xfId="0" applyFont="1" applyAlignment="1">
      <alignment vertical="center"/>
    </xf>
    <xf numFmtId="166" fontId="2" fillId="0" borderId="0" xfId="0" applyNumberFormat="1" applyFont="1" applyAlignment="1">
      <alignment horizontal="center" vertical="center"/>
    </xf>
    <xf numFmtId="10" fontId="2" fillId="3" borderId="0" xfId="0" applyNumberFormat="1" applyFont="1" applyFill="1" applyAlignment="1">
      <alignment vertical="center"/>
    </xf>
    <xf numFmtId="0" fontId="4" fillId="0" borderId="2" xfId="0" applyFont="1" applyBorder="1" applyAlignment="1">
      <alignment vertical="center"/>
    </xf>
    <xf numFmtId="0" fontId="2" fillId="0" borderId="0" xfId="0" applyFont="1"/>
    <xf numFmtId="0" fontId="4" fillId="0" borderId="0" xfId="0" applyFont="1" applyAlignment="1">
      <alignment horizontal="left" vertical="center"/>
    </xf>
    <xf numFmtId="0" fontId="4" fillId="0" borderId="0" xfId="0" applyFont="1"/>
    <xf numFmtId="10" fontId="4" fillId="0" borderId="8" xfId="1" applyNumberFormat="1" applyFont="1" applyFill="1" applyBorder="1" applyAlignment="1">
      <alignment horizontal="center" vertical="center" wrapText="1"/>
    </xf>
    <xf numFmtId="10" fontId="3" fillId="0" borderId="4" xfId="0" applyNumberFormat="1" applyFont="1" applyBorder="1" applyAlignment="1">
      <alignment horizontal="center" vertical="center" wrapText="1"/>
    </xf>
    <xf numFmtId="10" fontId="4" fillId="0" borderId="8" xfId="0" applyNumberFormat="1" applyFont="1" applyBorder="1" applyAlignment="1">
      <alignment horizontal="center" vertical="center" wrapText="1"/>
    </xf>
    <xf numFmtId="10" fontId="4" fillId="0" borderId="4" xfId="0" applyNumberFormat="1" applyFont="1" applyBorder="1" applyAlignment="1">
      <alignment horizontal="center" vertical="top" wrapText="1"/>
    </xf>
    <xf numFmtId="10" fontId="0" fillId="0" borderId="4" xfId="0" applyNumberFormat="1" applyBorder="1" applyAlignment="1">
      <alignment horizontal="center" vertical="top" wrapText="1"/>
    </xf>
    <xf numFmtId="0" fontId="0" fillId="3" borderId="0" xfId="0" applyFont="1" applyFill="1" applyAlignment="1">
      <alignment vertical="center"/>
    </xf>
    <xf numFmtId="169" fontId="4" fillId="3" borderId="4" xfId="0" applyNumberFormat="1" applyFont="1" applyFill="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2" fontId="4" fillId="3" borderId="4" xfId="0" applyNumberFormat="1" applyFont="1" applyFill="1" applyBorder="1" applyAlignment="1">
      <alignment horizontal="center" vertical="center" wrapText="1"/>
    </xf>
    <xf numFmtId="0" fontId="4" fillId="2" borderId="0" xfId="0" applyFont="1" applyFill="1" applyAlignment="1">
      <alignment vertical="center" wrapText="1"/>
    </xf>
    <xf numFmtId="10" fontId="4" fillId="0" borderId="4" xfId="1" applyNumberFormat="1" applyFont="1" applyFill="1" applyBorder="1" applyAlignment="1">
      <alignment horizontal="center" vertical="center" wrapText="1"/>
    </xf>
    <xf numFmtId="10" fontId="4" fillId="0" borderId="4" xfId="1" applyNumberFormat="1" applyFont="1" applyFill="1" applyBorder="1" applyAlignment="1">
      <alignment horizontal="center" vertical="top" wrapText="1"/>
    </xf>
    <xf numFmtId="10" fontId="4" fillId="3" borderId="4" xfId="1" applyNumberFormat="1" applyFont="1" applyFill="1" applyBorder="1" applyAlignment="1">
      <alignment horizontal="center" vertical="top" wrapText="1"/>
    </xf>
    <xf numFmtId="10" fontId="4" fillId="2" borderId="0" xfId="0" applyNumberFormat="1" applyFont="1" applyFill="1" applyAlignment="1">
      <alignment vertical="center"/>
    </xf>
    <xf numFmtId="10" fontId="4" fillId="0" borderId="4" xfId="1" applyNumberFormat="1" applyFont="1" applyFill="1" applyBorder="1" applyAlignment="1">
      <alignment horizontal="center" vertical="center"/>
    </xf>
    <xf numFmtId="10" fontId="4" fillId="3" borderId="4" xfId="1" applyNumberFormat="1" applyFont="1" applyFill="1" applyBorder="1" applyAlignment="1">
      <alignment horizontal="center" vertical="top"/>
    </xf>
    <xf numFmtId="10" fontId="4" fillId="0" borderId="4" xfId="1" applyNumberFormat="1" applyFont="1" applyFill="1" applyBorder="1" applyAlignment="1">
      <alignment horizontal="center" vertical="top"/>
    </xf>
    <xf numFmtId="3" fontId="4" fillId="0" borderId="4" xfId="1" applyNumberFormat="1" applyFont="1" applyFill="1" applyBorder="1" applyAlignment="1">
      <alignment horizontal="center" vertical="center"/>
    </xf>
    <xf numFmtId="3" fontId="4" fillId="2" borderId="4" xfId="4" applyNumberFormat="1" applyFont="1" applyFill="1" applyBorder="1" applyAlignment="1">
      <alignment horizontal="center" vertical="center"/>
    </xf>
    <xf numFmtId="3" fontId="4" fillId="0" borderId="0" xfId="0" applyNumberFormat="1" applyFont="1" applyAlignment="1">
      <alignment horizontal="center"/>
    </xf>
    <xf numFmtId="1" fontId="4" fillId="3" borderId="4" xfId="1" applyNumberFormat="1" applyFont="1" applyFill="1" applyBorder="1" applyAlignment="1">
      <alignment horizontal="center" vertical="top"/>
    </xf>
    <xf numFmtId="3" fontId="4" fillId="0" borderId="4" xfId="1" applyNumberFormat="1" applyFont="1" applyFill="1" applyBorder="1" applyAlignment="1">
      <alignment horizontal="center" vertical="top"/>
    </xf>
    <xf numFmtId="3" fontId="4" fillId="2" borderId="4" xfId="0" applyNumberFormat="1" applyFont="1" applyFill="1" applyBorder="1" applyAlignment="1">
      <alignment horizontal="center" vertical="center"/>
    </xf>
    <xf numFmtId="1" fontId="4" fillId="3" borderId="4"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0" fontId="4" fillId="0" borderId="4" xfId="1" applyNumberFormat="1" applyFont="1" applyFill="1" applyBorder="1" applyAlignment="1">
      <alignment horizontal="center" vertical="top"/>
    </xf>
    <xf numFmtId="3" fontId="4" fillId="3" borderId="4" xfId="1" applyNumberFormat="1" applyFont="1" applyFill="1" applyBorder="1" applyAlignment="1">
      <alignment horizontal="center" vertical="center"/>
    </xf>
    <xf numFmtId="3" fontId="4" fillId="3" borderId="4" xfId="1" applyNumberFormat="1" applyFont="1" applyFill="1" applyBorder="1" applyAlignment="1">
      <alignment horizontal="center" vertical="top"/>
    </xf>
    <xf numFmtId="0" fontId="4" fillId="0" borderId="4" xfId="1" applyNumberFormat="1" applyFont="1" applyFill="1" applyBorder="1" applyAlignment="1" applyProtection="1">
      <alignment horizontal="center" vertical="center" wrapText="1"/>
    </xf>
    <xf numFmtId="10" fontId="4" fillId="0" borderId="4" xfId="1" applyNumberFormat="1" applyFont="1" applyFill="1" applyBorder="1" applyAlignment="1" applyProtection="1">
      <alignment horizontal="center" vertical="center" wrapText="1"/>
    </xf>
    <xf numFmtId="166" fontId="4" fillId="3" borderId="4" xfId="1" applyNumberFormat="1" applyFont="1" applyFill="1" applyBorder="1" applyAlignment="1" applyProtection="1">
      <alignment horizontal="center" vertical="center" wrapText="1"/>
    </xf>
    <xf numFmtId="0" fontId="4" fillId="0" borderId="8" xfId="1" applyNumberFormat="1" applyFont="1" applyFill="1" applyBorder="1" applyAlignment="1" applyProtection="1">
      <alignment vertical="center"/>
    </xf>
    <xf numFmtId="166" fontId="4" fillId="0" borderId="4" xfId="1" applyNumberFormat="1" applyFont="1" applyFill="1" applyBorder="1" applyAlignment="1" applyProtection="1">
      <alignment horizontal="center" vertical="center" wrapText="1"/>
    </xf>
    <xf numFmtId="0" fontId="4" fillId="0" borderId="8" xfId="0" applyFont="1" applyBorder="1" applyAlignment="1">
      <alignment vertical="center"/>
    </xf>
    <xf numFmtId="10" fontId="3" fillId="2" borderId="4" xfId="0" applyNumberFormat="1" applyFont="1" applyFill="1" applyBorder="1" applyAlignment="1">
      <alignment horizontal="center" vertical="center" wrapText="1"/>
    </xf>
    <xf numFmtId="10" fontId="3" fillId="3" borderId="4" xfId="0" applyNumberFormat="1" applyFont="1" applyFill="1" applyBorder="1" applyAlignment="1">
      <alignment horizontal="center" vertical="center" wrapText="1"/>
    </xf>
    <xf numFmtId="0" fontId="4" fillId="0" borderId="2" xfId="0" applyFont="1" applyBorder="1" applyAlignment="1">
      <alignment vertical="center" wrapText="1"/>
    </xf>
    <xf numFmtId="10" fontId="4" fillId="3" borderId="2" xfId="0" applyNumberFormat="1" applyFont="1" applyFill="1" applyBorder="1" applyAlignment="1">
      <alignment horizontal="center" vertical="center"/>
    </xf>
    <xf numFmtId="10" fontId="4" fillId="3" borderId="9" xfId="0" applyNumberFormat="1" applyFont="1" applyFill="1" applyBorder="1" applyAlignment="1">
      <alignment horizontal="center" vertical="center"/>
    </xf>
    <xf numFmtId="0" fontId="4" fillId="0" borderId="6" xfId="0" applyFont="1" applyBorder="1" applyAlignment="1">
      <alignment vertical="center"/>
    </xf>
    <xf numFmtId="0" fontId="4" fillId="3" borderId="6" xfId="0" applyFont="1" applyFill="1" applyBorder="1" applyAlignment="1">
      <alignment vertical="center"/>
    </xf>
    <xf numFmtId="14" fontId="4" fillId="0" borderId="0" xfId="0" applyNumberFormat="1" applyFont="1" applyAlignment="1">
      <alignment vertical="center"/>
    </xf>
    <xf numFmtId="2" fontId="4" fillId="0" borderId="0" xfId="0" applyNumberFormat="1" applyFont="1" applyAlignment="1">
      <alignment vertical="center"/>
    </xf>
    <xf numFmtId="2" fontId="2" fillId="3" borderId="4" xfId="0" applyNumberFormat="1" applyFont="1" applyFill="1" applyBorder="1" applyAlignment="1">
      <alignment horizontal="center" vertical="center" wrapText="1"/>
    </xf>
    <xf numFmtId="10" fontId="2" fillId="3" borderId="4" xfId="1" applyNumberFormat="1" applyFont="1" applyFill="1" applyBorder="1" applyAlignment="1">
      <alignment horizontal="center" vertical="center" wrapText="1"/>
    </xf>
    <xf numFmtId="10" fontId="2" fillId="3" borderId="4" xfId="1" applyNumberFormat="1" applyFont="1" applyFill="1" applyBorder="1" applyAlignment="1">
      <alignment horizontal="center" vertical="top" wrapText="1"/>
    </xf>
    <xf numFmtId="10" fontId="2" fillId="3" borderId="4" xfId="1" applyNumberFormat="1" applyFont="1" applyFill="1" applyBorder="1" applyAlignment="1">
      <alignment horizontal="center" vertical="center"/>
    </xf>
    <xf numFmtId="10" fontId="2" fillId="3" borderId="4" xfId="1" applyNumberFormat="1" applyFont="1" applyFill="1" applyBorder="1" applyAlignment="1">
      <alignment horizontal="center" vertical="top"/>
    </xf>
    <xf numFmtId="1" fontId="2" fillId="3" borderId="4" xfId="1" applyNumberFormat="1" applyFont="1" applyFill="1" applyBorder="1" applyAlignment="1">
      <alignment horizontal="center" vertical="center"/>
    </xf>
    <xf numFmtId="1" fontId="2" fillId="3" borderId="4" xfId="1" applyNumberFormat="1" applyFont="1" applyFill="1" applyBorder="1" applyAlignment="1">
      <alignment horizontal="center" vertical="top"/>
    </xf>
    <xf numFmtId="1" fontId="2" fillId="3" borderId="4" xfId="0" applyNumberFormat="1" applyFont="1" applyFill="1" applyBorder="1" applyAlignment="1">
      <alignment horizontal="center" vertical="center"/>
    </xf>
    <xf numFmtId="10" fontId="2" fillId="3" borderId="4" xfId="1" applyNumberFormat="1" applyFont="1" applyFill="1" applyBorder="1" applyAlignment="1" applyProtection="1">
      <alignment horizontal="center" vertical="center" wrapText="1"/>
    </xf>
    <xf numFmtId="166" fontId="2" fillId="3" borderId="4" xfId="1" applyNumberFormat="1" applyFont="1" applyFill="1" applyBorder="1" applyAlignment="1" applyProtection="1">
      <alignment horizontal="center" vertical="center" wrapText="1"/>
    </xf>
    <xf numFmtId="0" fontId="2" fillId="0" borderId="9" xfId="1" applyNumberFormat="1" applyFont="1" applyFill="1" applyBorder="1" applyAlignment="1" applyProtection="1">
      <alignment vertical="center" wrapText="1"/>
    </xf>
    <xf numFmtId="0" fontId="2" fillId="0" borderId="9" xfId="0" applyFont="1" applyBorder="1" applyAlignment="1">
      <alignment vertical="center" wrapText="1"/>
    </xf>
    <xf numFmtId="10" fontId="8" fillId="3" borderId="4" xfId="0" applyNumberFormat="1" applyFont="1" applyFill="1" applyBorder="1" applyAlignment="1">
      <alignment horizontal="center" vertical="center" wrapText="1"/>
    </xf>
    <xf numFmtId="4" fontId="2" fillId="3" borderId="4" xfId="0" applyNumberFormat="1" applyFont="1" applyFill="1" applyBorder="1" applyAlignment="1">
      <alignment horizontal="center" vertical="center"/>
    </xf>
    <xf numFmtId="0" fontId="3" fillId="2" borderId="16" xfId="0" applyFont="1" applyFill="1" applyBorder="1" applyAlignment="1">
      <alignment horizontal="left"/>
    </xf>
    <xf numFmtId="0" fontId="3" fillId="2" borderId="0" xfId="0" applyFont="1" applyFill="1" applyAlignment="1">
      <alignment horizontal="left"/>
    </xf>
    <xf numFmtId="0" fontId="8" fillId="3" borderId="4" xfId="0" applyFont="1" applyFill="1" applyBorder="1"/>
    <xf numFmtId="0" fontId="8" fillId="0" borderId="0" xfId="0" applyFont="1"/>
    <xf numFmtId="0" fontId="8" fillId="2" borderId="0" xfId="0" applyFont="1" applyFill="1"/>
    <xf numFmtId="0" fontId="8" fillId="3" borderId="0" xfId="0" applyFont="1" applyFill="1"/>
    <xf numFmtId="0" fontId="8" fillId="3" borderId="4" xfId="0" applyFont="1" applyFill="1" applyBorder="1" applyAlignment="1">
      <alignment horizontal="center"/>
    </xf>
    <xf numFmtId="0" fontId="8" fillId="0" borderId="0" xfId="0" applyFont="1" applyAlignment="1">
      <alignment horizontal="center"/>
    </xf>
    <xf numFmtId="0" fontId="8" fillId="2" borderId="0" xfId="0" applyFont="1" applyFill="1" applyAlignment="1">
      <alignment horizontal="center"/>
    </xf>
    <xf numFmtId="0" fontId="8" fillId="2" borderId="11" xfId="0" applyFont="1" applyFill="1" applyBorder="1" applyAlignment="1">
      <alignment horizontal="center"/>
    </xf>
    <xf numFmtId="0" fontId="2" fillId="3" borderId="8" xfId="0" applyFont="1" applyFill="1" applyBorder="1" applyAlignment="1">
      <alignment horizontal="center"/>
    </xf>
    <xf numFmtId="0" fontId="2" fillId="2" borderId="0" xfId="0" applyFont="1" applyFill="1" applyAlignment="1">
      <alignment horizontal="center"/>
    </xf>
    <xf numFmtId="0" fontId="2" fillId="3" borderId="4" xfId="0" applyFont="1" applyFill="1" applyBorder="1"/>
    <xf numFmtId="0" fontId="12" fillId="2" borderId="4" xfId="0" applyFont="1" applyFill="1" applyBorder="1" applyAlignment="1">
      <alignment vertical="center"/>
    </xf>
    <xf numFmtId="0" fontId="0" fillId="2" borderId="4" xfId="0" applyFill="1" applyBorder="1" applyAlignment="1">
      <alignment vertical="center"/>
    </xf>
    <xf numFmtId="0" fontId="12" fillId="2" borderId="4" xfId="0" applyFont="1" applyFill="1" applyBorder="1" applyAlignment="1">
      <alignment vertical="center" wrapText="1"/>
    </xf>
    <xf numFmtId="0" fontId="0" fillId="0" borderId="4" xfId="0" applyBorder="1" applyAlignment="1">
      <alignment horizontal="center" vertical="center" wrapText="1"/>
    </xf>
    <xf numFmtId="0" fontId="2" fillId="0" borderId="0" xfId="0" applyFont="1" applyAlignment="1">
      <alignment vertical="center" wrapText="1"/>
    </xf>
    <xf numFmtId="10" fontId="0" fillId="0" borderId="4" xfId="0" applyNumberFormat="1" applyBorder="1" applyAlignment="1">
      <alignment horizontal="center" vertical="center"/>
    </xf>
    <xf numFmtId="0" fontId="14" fillId="2" borderId="4" xfId="2" applyFont="1" applyFill="1" applyBorder="1" applyAlignment="1">
      <alignment vertical="center" wrapText="1"/>
    </xf>
    <xf numFmtId="10" fontId="15" fillId="0" borderId="4" xfId="0" applyNumberFormat="1" applyFont="1" applyBorder="1" applyAlignment="1">
      <alignment horizontal="center" vertical="center" wrapText="1" readingOrder="1"/>
    </xf>
    <xf numFmtId="10" fontId="3" fillId="0" borderId="4" xfId="0" applyNumberFormat="1" applyFont="1" applyBorder="1" applyAlignment="1">
      <alignment horizontal="center" vertical="center"/>
    </xf>
    <xf numFmtId="0" fontId="12" fillId="0" borderId="4" xfId="0" applyFont="1" applyBorder="1" applyAlignment="1">
      <alignment vertical="center"/>
    </xf>
    <xf numFmtId="10" fontId="4" fillId="0" borderId="2" xfId="0" applyNumberFormat="1" applyFont="1" applyBorder="1" applyAlignment="1">
      <alignment horizontal="center" vertical="center"/>
    </xf>
    <xf numFmtId="10"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xf>
    <xf numFmtId="10" fontId="4" fillId="2" borderId="6" xfId="0" applyNumberFormat="1" applyFont="1" applyFill="1" applyBorder="1" applyAlignment="1">
      <alignment horizontal="left" vertical="center" wrapText="1"/>
    </xf>
    <xf numFmtId="10" fontId="4" fillId="2" borderId="6" xfId="0" applyNumberFormat="1" applyFont="1" applyFill="1" applyBorder="1" applyAlignment="1">
      <alignment horizontal="left" vertical="center"/>
    </xf>
    <xf numFmtId="10" fontId="4" fillId="3" borderId="6" xfId="0" applyNumberFormat="1" applyFont="1" applyFill="1" applyBorder="1" applyAlignment="1">
      <alignment horizontal="center" vertical="center"/>
    </xf>
    <xf numFmtId="10" fontId="4" fillId="2" borderId="6" xfId="0" applyNumberFormat="1" applyFont="1" applyFill="1" applyBorder="1" applyAlignment="1">
      <alignment horizontal="center" vertical="center"/>
    </xf>
    <xf numFmtId="0" fontId="2" fillId="2" borderId="0" xfId="0" applyFont="1" applyFill="1" applyAlignment="1">
      <alignment horizontal="center" vertical="center"/>
    </xf>
    <xf numFmtId="0" fontId="4" fillId="0" borderId="10" xfId="0" applyFont="1" applyBorder="1" applyAlignment="1">
      <alignment vertical="center"/>
    </xf>
    <xf numFmtId="10" fontId="4" fillId="0" borderId="10" xfId="0" applyNumberFormat="1" applyFont="1" applyBorder="1" applyAlignment="1">
      <alignment horizontal="center" vertical="center"/>
    </xf>
    <xf numFmtId="10" fontId="4" fillId="3" borderId="10" xfId="0" applyNumberFormat="1" applyFont="1" applyFill="1" applyBorder="1" applyAlignment="1">
      <alignment horizontal="center" vertical="center"/>
    </xf>
    <xf numFmtId="10" fontId="2" fillId="0" borderId="10" xfId="0" applyNumberFormat="1" applyFont="1" applyBorder="1" applyAlignment="1">
      <alignment horizontal="center" vertical="center"/>
    </xf>
    <xf numFmtId="0" fontId="2" fillId="0" borderId="10" xfId="0" applyFont="1" applyBorder="1" applyAlignment="1">
      <alignment horizontal="center" vertical="center"/>
    </xf>
    <xf numFmtId="0" fontId="0" fillId="0" borderId="6" xfId="0" applyBorder="1" applyAlignment="1">
      <alignment vertical="center"/>
    </xf>
    <xf numFmtId="0" fontId="0" fillId="3" borderId="6" xfId="0" applyFill="1" applyBorder="1" applyAlignment="1">
      <alignment vertical="center"/>
    </xf>
    <xf numFmtId="0" fontId="0" fillId="0" borderId="0" xfId="0" applyAlignment="1">
      <alignment vertical="center"/>
    </xf>
    <xf numFmtId="0" fontId="12" fillId="0" borderId="0" xfId="0" applyFont="1" applyAlignment="1">
      <alignment vertical="center"/>
    </xf>
    <xf numFmtId="0" fontId="0" fillId="0" borderId="0" xfId="0" applyAlignment="1">
      <alignment horizontal="center"/>
    </xf>
    <xf numFmtId="0" fontId="0" fillId="0" borderId="0" xfId="0" applyAlignment="1">
      <alignment horizontal="left"/>
    </xf>
    <xf numFmtId="0" fontId="2" fillId="0" borderId="0" xfId="0" applyFont="1" applyAlignment="1">
      <alignment horizontal="center"/>
    </xf>
    <xf numFmtId="0" fontId="2" fillId="3" borderId="0" xfId="0" applyFont="1" applyFill="1"/>
    <xf numFmtId="0" fontId="4" fillId="2" borderId="0" xfId="0" applyFont="1" applyFill="1"/>
    <xf numFmtId="0" fontId="12" fillId="2" borderId="13" xfId="0" applyFont="1" applyFill="1" applyBorder="1" applyAlignment="1">
      <alignment horizontal="left"/>
    </xf>
    <xf numFmtId="0" fontId="12" fillId="3" borderId="13" xfId="0" applyFont="1" applyFill="1" applyBorder="1"/>
    <xf numFmtId="0" fontId="12" fillId="0" borderId="0" xfId="0" applyFont="1"/>
    <xf numFmtId="0" fontId="12" fillId="2" borderId="0" xfId="0" applyFont="1" applyFill="1"/>
    <xf numFmtId="0" fontId="12" fillId="3" borderId="0" xfId="0" applyFont="1" applyFill="1"/>
    <xf numFmtId="0" fontId="0" fillId="2" borderId="0" xfId="0" applyFill="1"/>
    <xf numFmtId="0" fontId="0" fillId="2" borderId="0" xfId="0" applyFill="1" applyAlignment="1">
      <alignment vertical="center"/>
    </xf>
    <xf numFmtId="0" fontId="12" fillId="2" borderId="16" xfId="0" applyFont="1" applyFill="1" applyBorder="1" applyAlignment="1">
      <alignment vertical="center"/>
    </xf>
    <xf numFmtId="0" fontId="0" fillId="0" borderId="0" xfId="0" applyAlignment="1">
      <alignment vertical="center" wrapText="1"/>
    </xf>
    <xf numFmtId="10" fontId="0" fillId="0" borderId="0" xfId="0" applyNumberFormat="1" applyAlignment="1">
      <alignment vertical="center"/>
    </xf>
    <xf numFmtId="0" fontId="0" fillId="2" borderId="4" xfId="0" applyFill="1" applyBorder="1" applyAlignment="1">
      <alignment horizontal="center" vertical="center"/>
    </xf>
    <xf numFmtId="0" fontId="12" fillId="2" borderId="4" xfId="0" applyFont="1" applyFill="1" applyBorder="1" applyAlignment="1">
      <alignment horizontal="center" vertical="center" wrapText="1"/>
    </xf>
    <xf numFmtId="10" fontId="0" fillId="0" borderId="4" xfId="0" applyNumberFormat="1" applyBorder="1" applyAlignment="1">
      <alignment horizontal="center" vertical="center" wrapText="1"/>
    </xf>
    <xf numFmtId="10" fontId="12" fillId="0" borderId="4" xfId="0" applyNumberFormat="1" applyFont="1" applyBorder="1" applyAlignment="1">
      <alignment horizontal="center" vertical="center" wrapText="1"/>
    </xf>
    <xf numFmtId="10" fontId="12" fillId="0" borderId="4" xfId="0" applyNumberFormat="1" applyFont="1" applyBorder="1" applyAlignment="1">
      <alignment horizontal="center" vertical="center"/>
    </xf>
    <xf numFmtId="0" fontId="4" fillId="0" borderId="0" xfId="0" applyFont="1" applyAlignment="1">
      <alignment vertical="center" wrapText="1"/>
    </xf>
    <xf numFmtId="0" fontId="0" fillId="0" borderId="0" xfId="0" applyAlignment="1">
      <alignment horizontal="center" vertical="center"/>
    </xf>
    <xf numFmtId="0" fontId="0" fillId="0" borderId="2" xfId="0" applyBorder="1" applyAlignment="1">
      <alignment vertical="center"/>
    </xf>
    <xf numFmtId="10" fontId="4" fillId="3" borderId="0" xfId="0" applyNumberFormat="1" applyFont="1" applyFill="1" applyAlignment="1">
      <alignment horizontal="center" vertical="center"/>
    </xf>
    <xf numFmtId="0" fontId="0" fillId="0" borderId="2" xfId="0"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0" fillId="2" borderId="0" xfId="0" applyFill="1" applyAlignment="1">
      <alignment horizontal="left"/>
    </xf>
    <xf numFmtId="0" fontId="12" fillId="2" borderId="16" xfId="0" applyFont="1" applyFill="1" applyBorder="1" applyAlignment="1">
      <alignment horizontal="left"/>
    </xf>
    <xf numFmtId="0" fontId="12" fillId="2" borderId="0" xfId="0" applyFont="1" applyFill="1" applyAlignment="1">
      <alignment horizontal="left"/>
    </xf>
    <xf numFmtId="0" fontId="12" fillId="2" borderId="11" xfId="0" applyFont="1" applyFill="1" applyBorder="1" applyAlignment="1">
      <alignment horizontal="left"/>
    </xf>
    <xf numFmtId="0" fontId="12" fillId="3" borderId="4" xfId="0" applyFont="1" applyFill="1" applyBorder="1"/>
    <xf numFmtId="0" fontId="0" fillId="3" borderId="4" xfId="0" applyFill="1" applyBorder="1"/>
    <xf numFmtId="0" fontId="0" fillId="3" borderId="4" xfId="0" applyFill="1" applyBorder="1" applyAlignment="1">
      <alignment vertical="center"/>
    </xf>
    <xf numFmtId="0" fontId="12" fillId="2" borderId="0" xfId="0" applyFont="1" applyFill="1" applyAlignment="1">
      <alignment vertical="center"/>
    </xf>
    <xf numFmtId="0" fontId="0" fillId="3" borderId="4" xfId="0" applyFill="1" applyBorder="1" applyAlignment="1">
      <alignment horizontal="center" vertical="center" wrapText="1"/>
    </xf>
    <xf numFmtId="0" fontId="0" fillId="3" borderId="4" xfId="0" applyFill="1" applyBorder="1" applyAlignment="1">
      <alignment horizontal="center" vertical="center"/>
    </xf>
    <xf numFmtId="0" fontId="0" fillId="3" borderId="0" xfId="0" applyFill="1" applyAlignment="1">
      <alignment vertical="center"/>
    </xf>
    <xf numFmtId="0" fontId="0" fillId="3" borderId="4" xfId="0" applyFill="1" applyBorder="1" applyAlignment="1">
      <alignment vertical="center" wrapText="1"/>
    </xf>
    <xf numFmtId="10" fontId="0" fillId="3" borderId="4" xfId="0" applyNumberFormat="1" applyFill="1" applyBorder="1" applyAlignment="1">
      <alignment vertical="center"/>
    </xf>
    <xf numFmtId="0" fontId="12" fillId="0" borderId="4" xfId="0" applyFont="1" applyBorder="1" applyAlignment="1">
      <alignment horizontal="center" vertical="center" wrapText="1"/>
    </xf>
    <xf numFmtId="10" fontId="0" fillId="0" borderId="4" xfId="1" applyNumberFormat="1" applyFont="1" applyFill="1" applyBorder="1" applyAlignment="1" applyProtection="1">
      <alignment horizontal="center" vertical="center" wrapText="1"/>
    </xf>
    <xf numFmtId="0" fontId="0" fillId="3" borderId="2" xfId="0" applyFill="1" applyBorder="1" applyAlignment="1">
      <alignment vertical="center"/>
    </xf>
    <xf numFmtId="0" fontId="2"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4" fillId="2" borderId="4" xfId="0" applyNumberFormat="1" applyFont="1" applyFill="1" applyBorder="1" applyAlignment="1">
      <alignment horizontal="center" vertical="center"/>
    </xf>
    <xf numFmtId="0" fontId="3" fillId="2" borderId="8" xfId="0" applyFont="1" applyFill="1" applyBorder="1" applyAlignment="1">
      <alignment horizontal="left"/>
    </xf>
    <xf numFmtId="0" fontId="3" fillId="2" borderId="10" xfId="0" applyFont="1" applyFill="1" applyBorder="1" applyAlignment="1">
      <alignment horizontal="left"/>
    </xf>
    <xf numFmtId="0" fontId="3" fillId="2" borderId="9" xfId="0" applyFont="1" applyFill="1" applyBorder="1" applyAlignment="1">
      <alignment horizontal="left"/>
    </xf>
    <xf numFmtId="0" fontId="3" fillId="2" borderId="4" xfId="0" applyFont="1" applyFill="1" applyBorder="1" applyAlignment="1">
      <alignment horizontal="left" vertical="center"/>
    </xf>
    <xf numFmtId="0" fontId="4" fillId="0" borderId="4" xfId="0" applyNumberFormat="1" applyFont="1" applyFill="1" applyBorder="1" applyAlignment="1">
      <alignment horizontal="center" vertical="center"/>
    </xf>
    <xf numFmtId="0" fontId="4" fillId="0" borderId="4" xfId="0" applyNumberFormat="1" applyFont="1" applyBorder="1" applyAlignment="1">
      <alignment horizontal="center" vertical="center"/>
    </xf>
    <xf numFmtId="165" fontId="4" fillId="2" borderId="4" xfId="0" applyNumberFormat="1" applyFont="1" applyFill="1" applyBorder="1" applyAlignment="1">
      <alignment horizontal="center" vertical="center"/>
    </xf>
    <xf numFmtId="0" fontId="4"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xf>
    <xf numFmtId="0" fontId="4" fillId="2" borderId="4" xfId="0" applyFont="1" applyFill="1" applyBorder="1" applyAlignment="1">
      <alignment horizontal="left" vertical="center" wrapText="1"/>
    </xf>
    <xf numFmtId="165" fontId="4" fillId="2" borderId="8" xfId="0" applyNumberFormat="1" applyFont="1" applyFill="1" applyBorder="1" applyAlignment="1">
      <alignment horizontal="center" vertical="center"/>
    </xf>
    <xf numFmtId="165" fontId="4" fillId="2" borderId="10" xfId="0" applyNumberFormat="1" applyFont="1" applyFill="1" applyBorder="1" applyAlignment="1">
      <alignment horizontal="center" vertical="center"/>
    </xf>
    <xf numFmtId="165" fontId="4" fillId="2" borderId="9" xfId="0" applyNumberFormat="1" applyFont="1" applyFill="1" applyBorder="1" applyAlignment="1">
      <alignment horizontal="center" vertical="center"/>
    </xf>
    <xf numFmtId="0" fontId="4" fillId="2" borderId="4" xfId="0" applyFont="1" applyFill="1" applyBorder="1" applyAlignment="1">
      <alignment horizontal="center" vertical="center"/>
    </xf>
    <xf numFmtId="0" fontId="4" fillId="0" borderId="4" xfId="0" applyFont="1" applyFill="1" applyBorder="1" applyAlignment="1">
      <alignment horizontal="center" vertical="center"/>
    </xf>
    <xf numFmtId="0" fontId="4" fillId="2" borderId="1"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5" xfId="0" applyNumberFormat="1" applyFont="1" applyFill="1" applyBorder="1" applyAlignment="1">
      <alignment horizontal="center" vertical="center"/>
    </xf>
    <xf numFmtId="0" fontId="4" fillId="2" borderId="7" xfId="0" applyNumberFormat="1" applyFont="1" applyFill="1" applyBorder="1" applyAlignment="1">
      <alignment horizontal="center" vertical="center"/>
    </xf>
    <xf numFmtId="0" fontId="4" fillId="2" borderId="1"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2" fontId="4" fillId="2" borderId="4" xfId="0" applyNumberFormat="1" applyFont="1" applyFill="1" applyBorder="1" applyAlignment="1">
      <alignment horizontal="center" vertical="center"/>
    </xf>
    <xf numFmtId="0" fontId="3" fillId="2" borderId="4" xfId="0" applyFont="1" applyFill="1" applyBorder="1" applyAlignment="1">
      <alignment horizontal="left" vertical="center" wrapText="1"/>
    </xf>
    <xf numFmtId="2" fontId="0" fillId="2" borderId="4" xfId="0" applyNumberFormat="1" applyFont="1" applyFill="1" applyBorder="1" applyAlignment="1">
      <alignment horizontal="center" vertical="center"/>
    </xf>
    <xf numFmtId="2" fontId="0" fillId="0" borderId="4" xfId="0" applyNumberFormat="1" applyFont="1" applyFill="1" applyBorder="1" applyAlignment="1">
      <alignment horizontal="center" vertical="center"/>
    </xf>
    <xf numFmtId="0" fontId="4" fillId="0" borderId="8" xfId="1" applyNumberFormat="1" applyFont="1" applyBorder="1" applyAlignment="1">
      <alignment horizontal="left" vertical="center" wrapText="1"/>
    </xf>
    <xf numFmtId="0" fontId="4" fillId="0" borderId="9" xfId="1" applyNumberFormat="1" applyFont="1" applyBorder="1" applyAlignment="1">
      <alignment horizontal="left" vertical="center" wrapText="1"/>
    </xf>
    <xf numFmtId="0" fontId="11" fillId="0" borderId="8" xfId="1" applyNumberFormat="1" applyFont="1" applyFill="1" applyBorder="1" applyAlignment="1" applyProtection="1">
      <alignment horizontal="left" vertical="center" wrapText="1"/>
    </xf>
    <xf numFmtId="0" fontId="11" fillId="0" borderId="9" xfId="1" applyNumberFormat="1" applyFont="1" applyFill="1" applyBorder="1" applyAlignment="1" applyProtection="1">
      <alignment horizontal="left" vertical="center" wrapText="1"/>
    </xf>
    <xf numFmtId="0" fontId="4" fillId="0" borderId="8" xfId="0" applyNumberFormat="1" applyFont="1" applyBorder="1" applyAlignment="1">
      <alignment horizontal="left" vertical="center" wrapText="1"/>
    </xf>
    <xf numFmtId="0" fontId="4" fillId="0" borderId="9" xfId="0" applyNumberFormat="1" applyFont="1" applyBorder="1" applyAlignment="1">
      <alignment horizontal="left" vertical="center" wrapText="1"/>
    </xf>
    <xf numFmtId="0" fontId="4" fillId="0" borderId="8" xfId="1" applyNumberFormat="1" applyFont="1" applyFill="1" applyBorder="1" applyAlignment="1" applyProtection="1">
      <alignment horizontal="left" vertical="center" wrapText="1"/>
    </xf>
    <xf numFmtId="0" fontId="4" fillId="0" borderId="9" xfId="1" applyNumberFormat="1" applyFont="1" applyFill="1" applyBorder="1" applyAlignment="1" applyProtection="1">
      <alignment horizontal="left" vertical="center" wrapText="1"/>
    </xf>
    <xf numFmtId="0" fontId="3" fillId="0" borderId="4" xfId="0" applyNumberFormat="1" applyFont="1" applyFill="1" applyBorder="1" applyAlignment="1">
      <alignment horizontal="left" vertical="center" wrapText="1"/>
    </xf>
    <xf numFmtId="0" fontId="2" fillId="2" borderId="4" xfId="0" applyFont="1" applyFill="1" applyBorder="1" applyAlignment="1">
      <alignment horizontal="center" vertical="center"/>
    </xf>
    <xf numFmtId="0" fontId="2" fillId="0" borderId="4" xfId="0" applyFont="1" applyBorder="1" applyAlignment="1">
      <alignment horizontal="center" vertical="center"/>
    </xf>
    <xf numFmtId="3" fontId="1" fillId="0" borderId="8" xfId="1" applyNumberFormat="1" applyFont="1" applyFill="1" applyBorder="1" applyAlignment="1">
      <alignment horizontal="center" vertical="top" wrapText="1"/>
    </xf>
    <xf numFmtId="3" fontId="1" fillId="0" borderId="10" xfId="1" applyNumberFormat="1" applyFont="1" applyFill="1" applyBorder="1" applyAlignment="1">
      <alignment horizontal="center" vertical="top" wrapText="1"/>
    </xf>
    <xf numFmtId="3" fontId="1" fillId="0" borderId="9" xfId="1" applyNumberFormat="1" applyFont="1" applyFill="1" applyBorder="1" applyAlignment="1">
      <alignment horizontal="center" vertical="top" wrapText="1"/>
    </xf>
    <xf numFmtId="10" fontId="4" fillId="0" borderId="8" xfId="1" applyNumberFormat="1" applyFont="1" applyBorder="1" applyAlignment="1">
      <alignment horizontal="center" vertical="center"/>
    </xf>
    <xf numFmtId="0" fontId="4" fillId="0" borderId="10" xfId="1" applyNumberFormat="1" applyFont="1" applyBorder="1" applyAlignment="1">
      <alignment horizontal="center" vertical="center"/>
    </xf>
    <xf numFmtId="0" fontId="4" fillId="0" borderId="9" xfId="1" applyNumberFormat="1" applyFont="1" applyBorder="1" applyAlignment="1">
      <alignment horizontal="center" vertical="center"/>
    </xf>
    <xf numFmtId="0" fontId="4" fillId="0" borderId="4" xfId="0" applyFont="1" applyBorder="1" applyAlignment="1">
      <alignment horizontal="center" vertical="center"/>
    </xf>
    <xf numFmtId="10" fontId="2" fillId="2" borderId="10" xfId="0" applyNumberFormat="1" applyFont="1" applyFill="1" applyBorder="1" applyAlignment="1">
      <alignment horizontal="center" vertical="center"/>
    </xf>
    <xf numFmtId="10" fontId="4" fillId="0" borderId="8" xfId="0" applyNumberFormat="1" applyFont="1" applyBorder="1" applyAlignment="1">
      <alignment horizontal="center" vertical="center"/>
    </xf>
    <xf numFmtId="0" fontId="4" fillId="0" borderId="10" xfId="0" applyNumberFormat="1" applyFont="1" applyBorder="1" applyAlignment="1">
      <alignment horizontal="center" vertical="center"/>
    </xf>
    <xf numFmtId="0" fontId="4" fillId="0" borderId="9" xfId="0" applyNumberFormat="1" applyFont="1" applyBorder="1" applyAlignment="1">
      <alignment horizontal="center" vertical="center"/>
    </xf>
    <xf numFmtId="10" fontId="4" fillId="0" borderId="8"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10" fontId="4" fillId="0" borderId="8" xfId="1"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0" borderId="9" xfId="1" applyNumberFormat="1" applyFont="1" applyFill="1" applyBorder="1" applyAlignment="1">
      <alignment horizontal="center" vertical="center"/>
    </xf>
    <xf numFmtId="10" fontId="4" fillId="0" borderId="10" xfId="1" applyNumberFormat="1" applyFont="1" applyBorder="1" applyAlignment="1">
      <alignment horizontal="center" vertical="center"/>
    </xf>
    <xf numFmtId="10" fontId="4" fillId="0" borderId="9" xfId="1" applyNumberFormat="1" applyFont="1" applyBorder="1" applyAlignment="1">
      <alignment horizontal="center" vertical="center"/>
    </xf>
    <xf numFmtId="0" fontId="2" fillId="2" borderId="10" xfId="0"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Fill="1" applyAlignment="1">
      <alignment horizontal="left" vertical="center" wrapText="1"/>
    </xf>
    <xf numFmtId="10" fontId="4" fillId="2" borderId="4" xfId="0" applyNumberFormat="1" applyFont="1" applyFill="1" applyBorder="1" applyAlignment="1">
      <alignment horizontal="center" vertical="center"/>
    </xf>
    <xf numFmtId="10" fontId="2" fillId="2" borderId="4" xfId="0" applyNumberFormat="1" applyFont="1" applyFill="1" applyBorder="1" applyAlignment="1">
      <alignment horizontal="center" vertical="center"/>
    </xf>
    <xf numFmtId="0" fontId="4" fillId="0" borderId="8" xfId="0" applyNumberFormat="1" applyFont="1" applyBorder="1" applyAlignment="1">
      <alignment horizontal="center" vertical="center"/>
    </xf>
    <xf numFmtId="0" fontId="4" fillId="2" borderId="8" xfId="0" applyNumberFormat="1" applyFont="1" applyFill="1" applyBorder="1" applyAlignment="1">
      <alignment horizontal="center" vertical="center"/>
    </xf>
    <xf numFmtId="0" fontId="4" fillId="2" borderId="9" xfId="0" applyNumberFormat="1" applyFont="1" applyFill="1" applyBorder="1" applyAlignment="1">
      <alignment horizontal="center" vertical="center"/>
    </xf>
    <xf numFmtId="0" fontId="3" fillId="2" borderId="0" xfId="0" applyFont="1" applyFill="1" applyAlignment="1">
      <alignment horizontal="center"/>
    </xf>
    <xf numFmtId="0" fontId="3" fillId="2" borderId="11" xfId="0" applyFont="1" applyFill="1" applyBorder="1" applyAlignment="1">
      <alignment horizontal="center"/>
    </xf>
    <xf numFmtId="0" fontId="3" fillId="2" borderId="5" xfId="0" applyFont="1" applyFill="1" applyBorder="1" applyAlignment="1">
      <alignment horizontal="left"/>
    </xf>
    <xf numFmtId="0" fontId="3" fillId="2" borderId="6" xfId="0" applyFont="1" applyFill="1" applyBorder="1" applyAlignment="1">
      <alignment horizontal="left"/>
    </xf>
    <xf numFmtId="0" fontId="3" fillId="2" borderId="7" xfId="0" applyFont="1" applyFill="1" applyBorder="1" applyAlignment="1">
      <alignment horizontal="left"/>
    </xf>
    <xf numFmtId="0" fontId="4" fillId="2" borderId="8" xfId="0" applyFont="1" applyFill="1" applyBorder="1" applyAlignment="1">
      <alignment horizontal="center" vertical="center"/>
    </xf>
    <xf numFmtId="0" fontId="12" fillId="2" borderId="4" xfId="0" applyFont="1" applyFill="1" applyBorder="1" applyAlignment="1">
      <alignment horizontal="left" vertical="center"/>
    </xf>
    <xf numFmtId="0" fontId="4" fillId="2" borderId="10" xfId="0" applyFont="1" applyFill="1" applyBorder="1" applyAlignment="1">
      <alignment horizontal="center" vertical="center"/>
    </xf>
    <xf numFmtId="0" fontId="4" fillId="0" borderId="4" xfId="0" applyFont="1" applyBorder="1" applyAlignment="1">
      <alignment horizontal="center" vertical="center" wrapText="1"/>
    </xf>
    <xf numFmtId="0" fontId="12" fillId="0" borderId="4" xfId="0" applyFont="1" applyBorder="1" applyAlignment="1">
      <alignment horizontal="left" vertical="center"/>
    </xf>
    <xf numFmtId="0" fontId="4" fillId="0" borderId="8" xfId="0" applyFont="1" applyBorder="1" applyAlignment="1">
      <alignment horizontal="center" vertical="center" wrapText="1"/>
    </xf>
    <xf numFmtId="2" fontId="4" fillId="0" borderId="4" xfId="0" applyNumberFormat="1" applyFont="1" applyBorder="1" applyAlignment="1">
      <alignment horizontal="center" vertical="center"/>
    </xf>
    <xf numFmtId="2" fontId="0" fillId="0" borderId="4" xfId="0" applyNumberFormat="1" applyBorder="1" applyAlignment="1">
      <alignment horizontal="center" vertical="center"/>
    </xf>
    <xf numFmtId="2" fontId="4" fillId="0" borderId="8" xfId="0" applyNumberFormat="1" applyFont="1" applyBorder="1" applyAlignment="1">
      <alignment horizontal="center" vertical="center"/>
    </xf>
    <xf numFmtId="2" fontId="4" fillId="0" borderId="4" xfId="1" applyNumberFormat="1" applyFont="1" applyFill="1" applyBorder="1" applyAlignment="1">
      <alignment horizontal="center" vertical="center"/>
    </xf>
    <xf numFmtId="0" fontId="3" fillId="0" borderId="4" xfId="0" applyFont="1" applyBorder="1" applyAlignment="1">
      <alignment horizontal="left" vertical="center"/>
    </xf>
    <xf numFmtId="2" fontId="4" fillId="0" borderId="8" xfId="1" applyNumberFormat="1" applyFont="1" applyFill="1" applyBorder="1" applyAlignment="1">
      <alignment horizontal="center" vertical="center"/>
    </xf>
    <xf numFmtId="2" fontId="4" fillId="0" borderId="10" xfId="1" applyNumberFormat="1" applyFont="1" applyFill="1" applyBorder="1" applyAlignment="1">
      <alignment horizontal="center" vertical="center"/>
    </xf>
    <xf numFmtId="2" fontId="4" fillId="0" borderId="9" xfId="1" applyNumberFormat="1" applyFont="1" applyFill="1" applyBorder="1" applyAlignment="1">
      <alignment horizontal="center" vertical="center"/>
    </xf>
    <xf numFmtId="0" fontId="2" fillId="0" borderId="8" xfId="0" applyFont="1" applyBorder="1" applyAlignment="1">
      <alignment horizontal="center" vertical="center"/>
    </xf>
    <xf numFmtId="0" fontId="4" fillId="0" borderId="8" xfId="1" applyNumberFormat="1" applyFont="1" applyFill="1" applyBorder="1" applyAlignment="1" applyProtection="1">
      <alignment vertical="center" wrapText="1"/>
    </xf>
    <xf numFmtId="0" fontId="4" fillId="0" borderId="9" xfId="1" applyNumberFormat="1" applyFont="1" applyFill="1" applyBorder="1" applyAlignment="1" applyProtection="1">
      <alignment vertical="center" wrapText="1"/>
    </xf>
    <xf numFmtId="0" fontId="0" fillId="0" borderId="4" xfId="0" applyBorder="1" applyAlignment="1">
      <alignment horizontal="center" vertical="center"/>
    </xf>
    <xf numFmtId="0" fontId="4" fillId="0" borderId="8" xfId="0" applyFont="1" applyBorder="1" applyAlignment="1">
      <alignment vertical="center" wrapText="1"/>
    </xf>
    <xf numFmtId="0" fontId="4" fillId="0" borderId="9" xfId="0" applyFont="1" applyBorder="1" applyAlignment="1">
      <alignment vertical="center" wrapText="1"/>
    </xf>
    <xf numFmtId="10" fontId="3" fillId="0" borderId="4" xfId="0" applyNumberFormat="1" applyFont="1" applyBorder="1" applyAlignment="1">
      <alignment horizontal="left" vertical="center"/>
    </xf>
    <xf numFmtId="0" fontId="3" fillId="0" borderId="4" xfId="0" applyFont="1" applyBorder="1" applyAlignment="1">
      <alignment horizontal="left"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10" fontId="4" fillId="0" borderId="4" xfId="0" applyNumberFormat="1" applyFont="1" applyBorder="1" applyAlignment="1">
      <alignment horizontal="center" vertical="center"/>
    </xf>
    <xf numFmtId="0" fontId="0" fillId="0" borderId="0" xfId="0" applyAlignment="1">
      <alignment horizontal="left" vertical="center" wrapText="1"/>
    </xf>
    <xf numFmtId="10" fontId="4" fillId="0" borderId="2" xfId="0" applyNumberFormat="1" applyFont="1" applyBorder="1" applyAlignment="1">
      <alignment horizontal="left" vertical="center" wrapText="1"/>
    </xf>
    <xf numFmtId="10" fontId="4" fillId="0" borderId="2" xfId="0" applyNumberFormat="1" applyFont="1" applyBorder="1" applyAlignment="1">
      <alignment horizontal="left" vertical="center"/>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 fillId="2" borderId="4" xfId="0" applyFont="1" applyFill="1" applyBorder="1" applyAlignment="1">
      <alignment horizontal="left"/>
    </xf>
    <xf numFmtId="169" fontId="4" fillId="2" borderId="4"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165" fontId="4" fillId="2" borderId="2" xfId="0" applyNumberFormat="1" applyFont="1" applyFill="1" applyBorder="1" applyAlignment="1">
      <alignment horizontal="center" vertical="center"/>
    </xf>
    <xf numFmtId="165" fontId="4" fillId="2" borderId="3"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165" fontId="4" fillId="2" borderId="6" xfId="0" applyNumberFormat="1" applyFont="1" applyFill="1" applyBorder="1" applyAlignment="1">
      <alignment horizontal="center" vertical="center"/>
    </xf>
    <xf numFmtId="165" fontId="4" fillId="2" borderId="7"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5" xfId="0" applyFont="1" applyFill="1" applyBorder="1" applyAlignment="1">
      <alignment horizontal="center" vertical="center"/>
    </xf>
    <xf numFmtId="0" fontId="4" fillId="0" borderId="9" xfId="0" applyFont="1" applyBorder="1" applyAlignment="1">
      <alignment horizontal="center" vertical="center"/>
    </xf>
    <xf numFmtId="0" fontId="4" fillId="2" borderId="4" xfId="0" applyFont="1" applyFill="1" applyBorder="1" applyAlignment="1">
      <alignment horizontal="left" vertical="center"/>
    </xf>
    <xf numFmtId="0" fontId="4" fillId="2" borderId="9" xfId="0" applyFont="1" applyFill="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10" fontId="4" fillId="0" borderId="4" xfId="1" applyNumberFormat="1" applyFont="1" applyFill="1" applyBorder="1" applyAlignment="1">
      <alignment horizontal="center" vertical="center"/>
    </xf>
    <xf numFmtId="0" fontId="4" fillId="0" borderId="0" xfId="0" applyFont="1" applyAlignment="1">
      <alignment horizontal="left" vertical="center" wrapText="1"/>
    </xf>
    <xf numFmtId="10" fontId="4" fillId="2" borderId="2" xfId="0" applyNumberFormat="1" applyFont="1" applyFill="1" applyBorder="1" applyAlignment="1">
      <alignment horizontal="center" vertical="center"/>
    </xf>
    <xf numFmtId="0" fontId="0" fillId="2" borderId="4" xfId="0" applyFill="1" applyBorder="1" applyAlignment="1">
      <alignment horizontal="center" vertical="center"/>
    </xf>
    <xf numFmtId="0" fontId="0" fillId="2" borderId="4" xfId="0" applyFill="1" applyBorder="1" applyAlignment="1">
      <alignment horizontal="center" vertical="center" wrapText="1"/>
    </xf>
    <xf numFmtId="0" fontId="12" fillId="2" borderId="13" xfId="0" applyFont="1" applyFill="1" applyBorder="1" applyAlignment="1">
      <alignment horizontal="left" vertical="center"/>
    </xf>
    <xf numFmtId="0" fontId="12" fillId="2" borderId="15" xfId="0" applyFont="1" applyFill="1" applyBorder="1" applyAlignment="1">
      <alignment horizontal="left"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165" fontId="0" fillId="2" borderId="8" xfId="0" applyNumberFormat="1" applyFill="1" applyBorder="1" applyAlignment="1">
      <alignment horizontal="center" vertical="center"/>
    </xf>
    <xf numFmtId="165" fontId="0" fillId="2" borderId="10" xfId="0"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8"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xf>
    <xf numFmtId="0" fontId="0" fillId="2" borderId="9" xfId="0" applyFill="1" applyBorder="1" applyAlignment="1">
      <alignment horizontal="center" vertical="center"/>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2" fontId="0" fillId="0" borderId="8" xfId="0" applyNumberFormat="1" applyBorder="1" applyAlignment="1">
      <alignment horizontal="center" vertical="center"/>
    </xf>
    <xf numFmtId="2" fontId="0" fillId="0" borderId="10" xfId="0" applyNumberFormat="1" applyBorder="1" applyAlignment="1">
      <alignment horizontal="center" vertical="center"/>
    </xf>
    <xf numFmtId="2" fontId="0" fillId="0" borderId="9" xfId="0" applyNumberFormat="1" applyBorder="1" applyAlignment="1">
      <alignment horizontal="center" vertical="center"/>
    </xf>
    <xf numFmtId="2" fontId="0" fillId="0" borderId="8" xfId="1" applyNumberFormat="1" applyFont="1" applyFill="1" applyBorder="1" applyAlignment="1">
      <alignment horizontal="center" vertical="center"/>
    </xf>
    <xf numFmtId="2" fontId="0" fillId="0" borderId="10" xfId="1" applyNumberFormat="1" applyFont="1" applyFill="1" applyBorder="1" applyAlignment="1">
      <alignment horizontal="center" vertical="center"/>
    </xf>
    <xf numFmtId="2" fontId="0" fillId="0" borderId="9" xfId="1" applyNumberFormat="1" applyFont="1" applyFill="1" applyBorder="1" applyAlignment="1">
      <alignment horizontal="center" vertical="center"/>
    </xf>
    <xf numFmtId="0" fontId="0" fillId="2" borderId="8" xfId="0" applyFill="1" applyBorder="1" applyAlignment="1">
      <alignment horizontal="center" vertical="center"/>
    </xf>
    <xf numFmtId="0" fontId="12" fillId="2" borderId="8" xfId="0" applyFont="1" applyFill="1" applyBorder="1" applyAlignment="1">
      <alignment horizontal="left" vertical="center"/>
    </xf>
    <xf numFmtId="0" fontId="12" fillId="2" borderId="9" xfId="0" applyFont="1" applyFill="1" applyBorder="1" applyAlignment="1">
      <alignment horizontal="left" vertical="center"/>
    </xf>
    <xf numFmtId="0" fontId="12" fillId="2" borderId="10" xfId="0" applyFont="1" applyFill="1" applyBorder="1"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10" fontId="0" fillId="0" borderId="8" xfId="1" applyNumberFormat="1" applyFont="1" applyFill="1" applyBorder="1" applyAlignment="1" applyProtection="1">
      <alignment horizontal="left" vertical="center" wrapText="1"/>
    </xf>
    <xf numFmtId="10" fontId="0" fillId="0" borderId="9" xfId="1" applyNumberFormat="1" applyFont="1" applyFill="1" applyBorder="1" applyAlignment="1" applyProtection="1">
      <alignment horizontal="left" vertical="center" wrapText="1"/>
    </xf>
    <xf numFmtId="167" fontId="0" fillId="0" borderId="8" xfId="1" applyNumberFormat="1" applyFont="1" applyFill="1" applyBorder="1" applyAlignment="1" applyProtection="1">
      <alignment horizontal="left" vertical="center" wrapText="1"/>
    </xf>
    <xf numFmtId="167" fontId="0" fillId="0" borderId="9" xfId="1" applyNumberFormat="1" applyFont="1" applyFill="1" applyBorder="1" applyAlignment="1" applyProtection="1">
      <alignment horizontal="left" vertical="center" wrapText="1"/>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0" fillId="2" borderId="0" xfId="0" applyFill="1" applyAlignment="1">
      <alignment horizontal="left" vertical="center" wrapText="1"/>
    </xf>
    <xf numFmtId="10" fontId="0" fillId="0" borderId="4" xfId="0" applyNumberFormat="1" applyBorder="1" applyAlignment="1">
      <alignment horizontal="center" vertical="center"/>
    </xf>
    <xf numFmtId="0" fontId="4" fillId="0" borderId="10" xfId="0" applyFont="1" applyBorder="1" applyAlignment="1">
      <alignment horizontal="center" vertical="center" wrapText="1"/>
    </xf>
    <xf numFmtId="0" fontId="4" fillId="0" borderId="9" xfId="0" applyFont="1" applyBorder="1" applyAlignment="1">
      <alignment horizontal="center" vertical="center" wrapText="1"/>
    </xf>
    <xf numFmtId="0" fontId="3" fillId="2" borderId="0" xfId="0" applyFont="1" applyFill="1" applyAlignment="1">
      <alignment horizontal="left"/>
    </xf>
    <xf numFmtId="165" fontId="4" fillId="0" borderId="8" xfId="0" applyNumberFormat="1" applyFont="1" applyBorder="1" applyAlignment="1">
      <alignment horizontal="center" vertical="center"/>
    </xf>
    <xf numFmtId="165" fontId="4" fillId="0" borderId="10" xfId="0" applyNumberFormat="1" applyFont="1" applyBorder="1" applyAlignment="1">
      <alignment horizontal="center" vertical="center"/>
    </xf>
    <xf numFmtId="165" fontId="4" fillId="0" borderId="9" xfId="0" applyNumberFormat="1" applyFont="1" applyBorder="1" applyAlignment="1">
      <alignment horizontal="center" vertical="center"/>
    </xf>
    <xf numFmtId="0" fontId="4" fillId="0" borderId="10" xfId="0" applyFont="1" applyBorder="1" applyAlignment="1">
      <alignment horizontal="left" vertical="center" wrapText="1"/>
    </xf>
    <xf numFmtId="0" fontId="3" fillId="0" borderId="13" xfId="0" applyFont="1" applyBorder="1" applyAlignment="1">
      <alignment horizontal="left" vertical="center"/>
    </xf>
    <xf numFmtId="0" fontId="3" fillId="0" borderId="14" xfId="0" applyFont="1" applyBorder="1" applyAlignment="1">
      <alignment horizontal="left" vertical="center"/>
    </xf>
    <xf numFmtId="2" fontId="4" fillId="0" borderId="10" xfId="0" applyNumberFormat="1" applyFont="1" applyBorder="1" applyAlignment="1">
      <alignment horizontal="center" vertical="center"/>
    </xf>
    <xf numFmtId="2" fontId="4" fillId="0" borderId="9" xfId="0" applyNumberFormat="1" applyFont="1" applyBorder="1" applyAlignment="1">
      <alignment horizontal="center"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4" fillId="2" borderId="14" xfId="0" applyFont="1" applyFill="1" applyBorder="1" applyAlignment="1">
      <alignment horizontal="center" vertical="center"/>
    </xf>
    <xf numFmtId="0" fontId="3" fillId="0" borderId="10" xfId="0" applyFont="1" applyBorder="1" applyAlignment="1">
      <alignment horizontal="left" vertical="center"/>
    </xf>
    <xf numFmtId="0" fontId="2" fillId="0" borderId="10"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vertical="center"/>
    </xf>
    <xf numFmtId="166" fontId="2" fillId="0" borderId="10" xfId="0" applyNumberFormat="1" applyFont="1" applyBorder="1" applyAlignment="1">
      <alignment horizontal="center" vertical="center"/>
    </xf>
    <xf numFmtId="165" fontId="0" fillId="2" borderId="1" xfId="0" applyNumberFormat="1" applyFill="1" applyBorder="1" applyAlignment="1">
      <alignment horizontal="center" vertical="center"/>
    </xf>
    <xf numFmtId="165" fontId="0" fillId="2" borderId="2" xfId="0" applyNumberFormat="1" applyFill="1" applyBorder="1" applyAlignment="1">
      <alignment horizontal="center" vertical="center"/>
    </xf>
    <xf numFmtId="165" fontId="0" fillId="2" borderId="3" xfId="0" applyNumberFormat="1" applyFill="1" applyBorder="1" applyAlignment="1">
      <alignment horizontal="center" vertical="center"/>
    </xf>
    <xf numFmtId="165" fontId="0" fillId="2" borderId="5" xfId="0" applyNumberFormat="1" applyFill="1" applyBorder="1" applyAlignment="1">
      <alignment horizontal="center" vertical="center"/>
    </xf>
    <xf numFmtId="165" fontId="0" fillId="2" borderId="6" xfId="0" applyNumberFormat="1" applyFill="1" applyBorder="1" applyAlignment="1">
      <alignment horizontal="center" vertical="center"/>
    </xf>
    <xf numFmtId="165" fontId="0" fillId="2" borderId="7" xfId="0" applyNumberForma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12" fillId="0" borderId="10" xfId="0" applyFont="1" applyBorder="1" applyAlignment="1">
      <alignment horizontal="left" vertical="center"/>
    </xf>
    <xf numFmtId="10" fontId="0" fillId="0" borderId="10" xfId="1" applyNumberFormat="1" applyFont="1" applyFill="1" applyBorder="1" applyAlignment="1" applyProtection="1">
      <alignment horizontal="left" vertical="center" wrapText="1"/>
    </xf>
    <xf numFmtId="10" fontId="0" fillId="0" borderId="8" xfId="0" applyNumberFormat="1" applyBorder="1" applyAlignment="1">
      <alignment horizontal="center" vertical="center"/>
    </xf>
    <xf numFmtId="10" fontId="0" fillId="0" borderId="10" xfId="0" applyNumberFormat="1" applyBorder="1" applyAlignment="1">
      <alignment horizontal="center" vertical="center"/>
    </xf>
    <xf numFmtId="10" fontId="0" fillId="0" borderId="9" xfId="0" applyNumberForma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cellXfs>
  <cellStyles count="5">
    <cellStyle name="Comma 2" xfId="3" xr:uid="{00000000-0005-0000-0000-000001000000}"/>
    <cellStyle name="Comma 3" xfId="4" xr:uid="{79FFFD82-A220-4D36-BC33-9D57E2CD7245}"/>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jp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jpg"/><Relationship Id="rId1" Type="http://schemas.openxmlformats.org/officeDocument/2006/relationships/image" Target="../media/image25.jp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13.jpg"/><Relationship Id="rId1" Type="http://schemas.openxmlformats.org/officeDocument/2006/relationships/image" Target="../media/image41.jpg"/><Relationship Id="rId5" Type="http://schemas.openxmlformats.org/officeDocument/2006/relationships/image" Target="../media/image42.jpg"/><Relationship Id="rId4" Type="http://schemas.openxmlformats.org/officeDocument/2006/relationships/image" Target="../media/image27.jpg"/></Relationships>
</file>

<file path=xl/drawings/_rels/drawing4.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1.jpg"/><Relationship Id="rId1" Type="http://schemas.openxmlformats.org/officeDocument/2006/relationships/image" Target="../media/image13.jpg"/><Relationship Id="rId4" Type="http://schemas.openxmlformats.org/officeDocument/2006/relationships/image" Target="../media/image3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g"/><Relationship Id="rId1" Type="http://schemas.openxmlformats.org/officeDocument/2006/relationships/image" Target="../media/image25.jp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 Id="rId4" Type="http://schemas.openxmlformats.org/officeDocument/2006/relationships/image" Target="../media/image4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4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emf"/><Relationship Id="rId1" Type="http://schemas.openxmlformats.org/officeDocument/2006/relationships/image" Target="../media/image50.emf"/></Relationships>
</file>

<file path=xl/drawings/drawing1.xml><?xml version="1.0" encoding="utf-8"?>
<xdr:wsDr xmlns:xdr="http://schemas.openxmlformats.org/drawingml/2006/spreadsheetDrawing" xmlns:a="http://schemas.openxmlformats.org/drawingml/2006/main">
  <xdr:twoCellAnchor editAs="oneCell">
    <xdr:from>
      <xdr:col>26</xdr:col>
      <xdr:colOff>1064559</xdr:colOff>
      <xdr:row>55</xdr:row>
      <xdr:rowOff>134471</xdr:rowOff>
    </xdr:from>
    <xdr:to>
      <xdr:col>28</xdr:col>
      <xdr:colOff>971551</xdr:colOff>
      <xdr:row>55</xdr:row>
      <xdr:rowOff>1963312</xdr:rowOff>
    </xdr:to>
    <xdr:pic>
      <xdr:nvPicPr>
        <xdr:cNvPr id="27" name="Picture 26" descr="Chart, radar chart&#10;&#10;Description automatically generated">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112883" y="17481177"/>
          <a:ext cx="2394697" cy="1828841"/>
        </a:xfrm>
        <a:prstGeom prst="rect">
          <a:avLst/>
        </a:prstGeom>
      </xdr:spPr>
    </xdr:pic>
    <xdr:clientData/>
  </xdr:twoCellAnchor>
  <xdr:twoCellAnchor editAs="oneCell">
    <xdr:from>
      <xdr:col>32</xdr:col>
      <xdr:colOff>6725</xdr:colOff>
      <xdr:row>55</xdr:row>
      <xdr:rowOff>174813</xdr:rowOff>
    </xdr:from>
    <xdr:to>
      <xdr:col>33</xdr:col>
      <xdr:colOff>1157569</xdr:colOff>
      <xdr:row>55</xdr:row>
      <xdr:rowOff>2003654</xdr:rowOff>
    </xdr:to>
    <xdr:pic>
      <xdr:nvPicPr>
        <xdr:cNvPr id="28" name="Picture 27" descr="Chart, radar chart&#10;&#10;Description automatically generated">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07931" y="17521519"/>
          <a:ext cx="2394697" cy="1828841"/>
        </a:xfrm>
        <a:prstGeom prst="rect">
          <a:avLst/>
        </a:prstGeom>
      </xdr:spPr>
    </xdr:pic>
    <xdr:clientData/>
  </xdr:twoCellAnchor>
  <xdr:twoCellAnchor editAs="oneCell">
    <xdr:from>
      <xdr:col>36</xdr:col>
      <xdr:colOff>1212478</xdr:colOff>
      <xdr:row>55</xdr:row>
      <xdr:rowOff>181538</xdr:rowOff>
    </xdr:from>
    <xdr:to>
      <xdr:col>38</xdr:col>
      <xdr:colOff>1119469</xdr:colOff>
      <xdr:row>55</xdr:row>
      <xdr:rowOff>2010379</xdr:rowOff>
    </xdr:to>
    <xdr:pic>
      <xdr:nvPicPr>
        <xdr:cNvPr id="29" name="Picture 28" descr="Chart, radar chart&#10;&#10;Description automatically generated">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78860" y="17528244"/>
          <a:ext cx="2394697" cy="1828841"/>
        </a:xfrm>
        <a:prstGeom prst="rect">
          <a:avLst/>
        </a:prstGeom>
      </xdr:spPr>
    </xdr:pic>
    <xdr:clientData/>
  </xdr:twoCellAnchor>
  <xdr:twoCellAnchor editAs="oneCell">
    <xdr:from>
      <xdr:col>42</xdr:col>
      <xdr:colOff>53789</xdr:colOff>
      <xdr:row>55</xdr:row>
      <xdr:rowOff>210673</xdr:rowOff>
    </xdr:from>
    <xdr:to>
      <xdr:col>43</xdr:col>
      <xdr:colOff>1204633</xdr:colOff>
      <xdr:row>55</xdr:row>
      <xdr:rowOff>2039514</xdr:rowOff>
    </xdr:to>
    <xdr:pic>
      <xdr:nvPicPr>
        <xdr:cNvPr id="30" name="Picture 29" descr="Chart, radar chart&#10;&#10;Description automatically generated">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73054" y="17557379"/>
          <a:ext cx="2394697" cy="1828841"/>
        </a:xfrm>
        <a:prstGeom prst="rect">
          <a:avLst/>
        </a:prstGeom>
      </xdr:spPr>
    </xdr:pic>
    <xdr:clientData/>
  </xdr:twoCellAnchor>
  <xdr:twoCellAnchor editAs="oneCell">
    <xdr:from>
      <xdr:col>47</xdr:col>
      <xdr:colOff>22412</xdr:colOff>
      <xdr:row>55</xdr:row>
      <xdr:rowOff>201705</xdr:rowOff>
    </xdr:from>
    <xdr:to>
      <xdr:col>48</xdr:col>
      <xdr:colOff>1173256</xdr:colOff>
      <xdr:row>55</xdr:row>
      <xdr:rowOff>2030546</xdr:rowOff>
    </xdr:to>
    <xdr:pic>
      <xdr:nvPicPr>
        <xdr:cNvPr id="31" name="Picture 30" descr="Chart, radar chart&#10;&#10;Description automatically generated">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350706" y="17548411"/>
          <a:ext cx="2394697" cy="1828841"/>
        </a:xfrm>
        <a:prstGeom prst="rect">
          <a:avLst/>
        </a:prstGeom>
      </xdr:spPr>
    </xdr:pic>
    <xdr:clientData/>
  </xdr:twoCellAnchor>
  <xdr:twoCellAnchor editAs="oneCell">
    <xdr:from>
      <xdr:col>52</xdr:col>
      <xdr:colOff>141194</xdr:colOff>
      <xdr:row>55</xdr:row>
      <xdr:rowOff>174811</xdr:rowOff>
    </xdr:from>
    <xdr:to>
      <xdr:col>54</xdr:col>
      <xdr:colOff>48186</xdr:colOff>
      <xdr:row>55</xdr:row>
      <xdr:rowOff>2003652</xdr:rowOff>
    </xdr:to>
    <xdr:pic>
      <xdr:nvPicPr>
        <xdr:cNvPr id="32" name="Picture 31" descr="Chart, radar chart&#10;&#10;Description automatically generated">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78518" y="17521517"/>
          <a:ext cx="2394697" cy="1828841"/>
        </a:xfrm>
        <a:prstGeom prst="rect">
          <a:avLst/>
        </a:prstGeom>
      </xdr:spPr>
    </xdr:pic>
    <xdr:clientData/>
  </xdr:twoCellAnchor>
  <xdr:twoCellAnchor editAs="oneCell">
    <xdr:from>
      <xdr:col>57</xdr:col>
      <xdr:colOff>58270</xdr:colOff>
      <xdr:row>55</xdr:row>
      <xdr:rowOff>170328</xdr:rowOff>
    </xdr:from>
    <xdr:to>
      <xdr:col>58</xdr:col>
      <xdr:colOff>1209114</xdr:colOff>
      <xdr:row>55</xdr:row>
      <xdr:rowOff>1999169</xdr:rowOff>
    </xdr:to>
    <xdr:pic>
      <xdr:nvPicPr>
        <xdr:cNvPr id="33" name="Picture 32" descr="Chart, radar chart&#10;&#10;Description automatically generated">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04623" y="17517034"/>
          <a:ext cx="2394697" cy="1828841"/>
        </a:xfrm>
        <a:prstGeom prst="rect">
          <a:avLst/>
        </a:prstGeom>
      </xdr:spPr>
    </xdr:pic>
    <xdr:clientData/>
  </xdr:twoCellAnchor>
  <xdr:twoCellAnchor editAs="oneCell">
    <xdr:from>
      <xdr:col>1</xdr:col>
      <xdr:colOff>840441</xdr:colOff>
      <xdr:row>55</xdr:row>
      <xdr:rowOff>179294</xdr:rowOff>
    </xdr:from>
    <xdr:to>
      <xdr:col>3</xdr:col>
      <xdr:colOff>747432</xdr:colOff>
      <xdr:row>55</xdr:row>
      <xdr:rowOff>2008135</xdr:rowOff>
    </xdr:to>
    <xdr:pic>
      <xdr:nvPicPr>
        <xdr:cNvPr id="34" name="Picture 33" descr="Chart, radar chart&#10;&#10;Description automatically generated">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43617" y="17526000"/>
          <a:ext cx="2394697" cy="1828841"/>
        </a:xfrm>
        <a:prstGeom prst="rect">
          <a:avLst/>
        </a:prstGeom>
      </xdr:spPr>
    </xdr:pic>
    <xdr:clientData/>
  </xdr:twoCellAnchor>
  <xdr:twoCellAnchor editAs="oneCell">
    <xdr:from>
      <xdr:col>7</xdr:col>
      <xdr:colOff>33618</xdr:colOff>
      <xdr:row>55</xdr:row>
      <xdr:rowOff>212911</xdr:rowOff>
    </xdr:from>
    <xdr:to>
      <xdr:col>8</xdr:col>
      <xdr:colOff>1184462</xdr:colOff>
      <xdr:row>55</xdr:row>
      <xdr:rowOff>2041752</xdr:rowOff>
    </xdr:to>
    <xdr:pic>
      <xdr:nvPicPr>
        <xdr:cNvPr id="35" name="Picture 34" descr="Chart, radar chart&#10;&#10;Description automatically generated">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9677" y="17559617"/>
          <a:ext cx="2394697" cy="1828841"/>
        </a:xfrm>
        <a:prstGeom prst="rect">
          <a:avLst/>
        </a:prstGeom>
      </xdr:spPr>
    </xdr:pic>
    <xdr:clientData/>
  </xdr:twoCellAnchor>
  <xdr:twoCellAnchor editAs="oneCell">
    <xdr:from>
      <xdr:col>12</xdr:col>
      <xdr:colOff>107577</xdr:colOff>
      <xdr:row>55</xdr:row>
      <xdr:rowOff>118782</xdr:rowOff>
    </xdr:from>
    <xdr:to>
      <xdr:col>14</xdr:col>
      <xdr:colOff>14568</xdr:colOff>
      <xdr:row>55</xdr:row>
      <xdr:rowOff>1947623</xdr:rowOff>
    </xdr:to>
    <xdr:pic>
      <xdr:nvPicPr>
        <xdr:cNvPr id="36" name="Picture 35" descr="Chart, radar chart&#10;&#10;Description automatically generated">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72665" y="17465488"/>
          <a:ext cx="2394697" cy="1828841"/>
        </a:xfrm>
        <a:prstGeom prst="rect">
          <a:avLst/>
        </a:prstGeom>
      </xdr:spPr>
    </xdr:pic>
    <xdr:clientData/>
  </xdr:twoCellAnchor>
  <xdr:twoCellAnchor editAs="oneCell">
    <xdr:from>
      <xdr:col>17</xdr:col>
      <xdr:colOff>147918</xdr:colOff>
      <xdr:row>55</xdr:row>
      <xdr:rowOff>103094</xdr:rowOff>
    </xdr:from>
    <xdr:to>
      <xdr:col>19</xdr:col>
      <xdr:colOff>54909</xdr:colOff>
      <xdr:row>55</xdr:row>
      <xdr:rowOff>1931935</xdr:rowOff>
    </xdr:to>
    <xdr:pic>
      <xdr:nvPicPr>
        <xdr:cNvPr id="37" name="Picture 36" descr="Chart, radar chart&#10;&#10;Description automatically generated">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22036" y="17449800"/>
          <a:ext cx="2394697" cy="1828841"/>
        </a:xfrm>
        <a:prstGeom prst="rect">
          <a:avLst/>
        </a:prstGeom>
      </xdr:spPr>
    </xdr:pic>
    <xdr:clientData/>
  </xdr:twoCellAnchor>
  <xdr:twoCellAnchor editAs="oneCell">
    <xdr:from>
      <xdr:col>22</xdr:col>
      <xdr:colOff>42584</xdr:colOff>
      <xdr:row>55</xdr:row>
      <xdr:rowOff>132230</xdr:rowOff>
    </xdr:from>
    <xdr:to>
      <xdr:col>23</xdr:col>
      <xdr:colOff>1193428</xdr:colOff>
      <xdr:row>55</xdr:row>
      <xdr:rowOff>1961071</xdr:rowOff>
    </xdr:to>
    <xdr:pic>
      <xdr:nvPicPr>
        <xdr:cNvPr id="38" name="Picture 37" descr="Chart, radar chart&#10;&#10;Description automatically generated">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25731" y="17478936"/>
          <a:ext cx="2394697" cy="1828841"/>
        </a:xfrm>
        <a:prstGeom prst="rect">
          <a:avLst/>
        </a:prstGeom>
      </xdr:spPr>
    </xdr:pic>
    <xdr:clientData/>
  </xdr:twoCellAnchor>
  <xdr:twoCellAnchor editAs="oneCell">
    <xdr:from>
      <xdr:col>1</xdr:col>
      <xdr:colOff>998444</xdr:colOff>
      <xdr:row>53</xdr:row>
      <xdr:rowOff>1092013</xdr:rowOff>
    </xdr:from>
    <xdr:to>
      <xdr:col>3</xdr:col>
      <xdr:colOff>901513</xdr:colOff>
      <xdr:row>53</xdr:row>
      <xdr:rowOff>2920854</xdr:rowOff>
    </xdr:to>
    <xdr:pic>
      <xdr:nvPicPr>
        <xdr:cNvPr id="39" name="Picture 38" descr="Chart, radar chart&#10;&#10;Description automatically generated">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1620" y="14505454"/>
          <a:ext cx="2390775" cy="1828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53</xdr:row>
          <xdr:rowOff>190500</xdr:rowOff>
        </xdr:from>
        <xdr:to>
          <xdr:col>4</xdr:col>
          <xdr:colOff>1013460</xdr:colOff>
          <xdr:row>53</xdr:row>
          <xdr:rowOff>944880</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53</xdr:row>
          <xdr:rowOff>175260</xdr:rowOff>
        </xdr:from>
        <xdr:to>
          <xdr:col>9</xdr:col>
          <xdr:colOff>1036320</xdr:colOff>
          <xdr:row>53</xdr:row>
          <xdr:rowOff>769620</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53</xdr:row>
          <xdr:rowOff>175260</xdr:rowOff>
        </xdr:from>
        <xdr:to>
          <xdr:col>14</xdr:col>
          <xdr:colOff>1021080</xdr:colOff>
          <xdr:row>53</xdr:row>
          <xdr:rowOff>883920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53</xdr:row>
          <xdr:rowOff>182880</xdr:rowOff>
        </xdr:from>
        <xdr:to>
          <xdr:col>19</xdr:col>
          <xdr:colOff>1028700</xdr:colOff>
          <xdr:row>53</xdr:row>
          <xdr:rowOff>723900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53</xdr:row>
          <xdr:rowOff>213360</xdr:rowOff>
        </xdr:from>
        <xdr:to>
          <xdr:col>24</xdr:col>
          <xdr:colOff>1097280</xdr:colOff>
          <xdr:row>53</xdr:row>
          <xdr:rowOff>937260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121920</xdr:colOff>
          <xdr:row>53</xdr:row>
          <xdr:rowOff>236220</xdr:rowOff>
        </xdr:from>
        <xdr:to>
          <xdr:col>29</xdr:col>
          <xdr:colOff>1074420</xdr:colOff>
          <xdr:row>53</xdr:row>
          <xdr:rowOff>822960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106680</xdr:colOff>
          <xdr:row>53</xdr:row>
          <xdr:rowOff>274320</xdr:rowOff>
        </xdr:from>
        <xdr:to>
          <xdr:col>34</xdr:col>
          <xdr:colOff>1059180</xdr:colOff>
          <xdr:row>53</xdr:row>
          <xdr:rowOff>914400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121920</xdr:colOff>
          <xdr:row>53</xdr:row>
          <xdr:rowOff>289560</xdr:rowOff>
        </xdr:from>
        <xdr:to>
          <xdr:col>39</xdr:col>
          <xdr:colOff>1074420</xdr:colOff>
          <xdr:row>53</xdr:row>
          <xdr:rowOff>944880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152400</xdr:colOff>
          <xdr:row>53</xdr:row>
          <xdr:rowOff>327660</xdr:rowOff>
        </xdr:from>
        <xdr:to>
          <xdr:col>44</xdr:col>
          <xdr:colOff>1104900</xdr:colOff>
          <xdr:row>53</xdr:row>
          <xdr:rowOff>944880</xdr:rowOff>
        </xdr:to>
        <xdr:sp macro="" textlink="">
          <xdr:nvSpPr>
            <xdr:cNvPr id="1045" name="Object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175260</xdr:colOff>
          <xdr:row>53</xdr:row>
          <xdr:rowOff>304800</xdr:rowOff>
        </xdr:from>
        <xdr:to>
          <xdr:col>49</xdr:col>
          <xdr:colOff>1127760</xdr:colOff>
          <xdr:row>53</xdr:row>
          <xdr:rowOff>899160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190500</xdr:colOff>
          <xdr:row>53</xdr:row>
          <xdr:rowOff>297180</xdr:rowOff>
        </xdr:from>
        <xdr:to>
          <xdr:col>54</xdr:col>
          <xdr:colOff>1143000</xdr:colOff>
          <xdr:row>53</xdr:row>
          <xdr:rowOff>937260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182880</xdr:colOff>
          <xdr:row>53</xdr:row>
          <xdr:rowOff>327660</xdr:rowOff>
        </xdr:from>
        <xdr:to>
          <xdr:col>59</xdr:col>
          <xdr:colOff>1135380</xdr:colOff>
          <xdr:row>53</xdr:row>
          <xdr:rowOff>982980</xdr:rowOff>
        </xdr:to>
        <xdr:sp macro="" textlink="">
          <xdr:nvSpPr>
            <xdr:cNvPr id="1048" name="Object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30256</xdr:colOff>
      <xdr:row>53</xdr:row>
      <xdr:rowOff>1132354</xdr:rowOff>
    </xdr:from>
    <xdr:to>
      <xdr:col>8</xdr:col>
      <xdr:colOff>1177178</xdr:colOff>
      <xdr:row>53</xdr:row>
      <xdr:rowOff>2961195</xdr:rowOff>
    </xdr:to>
    <xdr:pic>
      <xdr:nvPicPr>
        <xdr:cNvPr id="54" name="Picture 53" descr="Chart, radar chart&#10;&#10;Description automatically generated">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6315" y="14545795"/>
          <a:ext cx="2390775" cy="1828841"/>
        </a:xfrm>
        <a:prstGeom prst="rect">
          <a:avLst/>
        </a:prstGeom>
      </xdr:spPr>
    </xdr:pic>
    <xdr:clientData/>
  </xdr:twoCellAnchor>
  <xdr:twoCellAnchor editAs="oneCell">
    <xdr:from>
      <xdr:col>12</xdr:col>
      <xdr:colOff>14568</xdr:colOff>
      <xdr:row>53</xdr:row>
      <xdr:rowOff>1172694</xdr:rowOff>
    </xdr:from>
    <xdr:to>
      <xdr:col>13</xdr:col>
      <xdr:colOff>1161490</xdr:colOff>
      <xdr:row>53</xdr:row>
      <xdr:rowOff>3001535</xdr:rowOff>
    </xdr:to>
    <xdr:pic>
      <xdr:nvPicPr>
        <xdr:cNvPr id="55" name="Picture 54" descr="Chart, radar chart&#10;&#10;Description automatically generated">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79656" y="14586135"/>
          <a:ext cx="2390775" cy="1828841"/>
        </a:xfrm>
        <a:prstGeom prst="rect">
          <a:avLst/>
        </a:prstGeom>
      </xdr:spPr>
    </xdr:pic>
    <xdr:clientData/>
  </xdr:twoCellAnchor>
  <xdr:twoCellAnchor editAs="oneCell">
    <xdr:from>
      <xdr:col>17</xdr:col>
      <xdr:colOff>155761</xdr:colOff>
      <xdr:row>53</xdr:row>
      <xdr:rowOff>1179418</xdr:rowOff>
    </xdr:from>
    <xdr:to>
      <xdr:col>19</xdr:col>
      <xdr:colOff>58830</xdr:colOff>
      <xdr:row>53</xdr:row>
      <xdr:rowOff>3008259</xdr:rowOff>
    </xdr:to>
    <xdr:pic>
      <xdr:nvPicPr>
        <xdr:cNvPr id="56" name="Picture 55" descr="Chart, radar chart&#10;&#10;Description automatically generated">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429879" y="14592859"/>
          <a:ext cx="2390775" cy="1828841"/>
        </a:xfrm>
        <a:prstGeom prst="rect">
          <a:avLst/>
        </a:prstGeom>
      </xdr:spPr>
    </xdr:pic>
    <xdr:clientData/>
  </xdr:twoCellAnchor>
  <xdr:twoCellAnchor editAs="oneCell">
    <xdr:from>
      <xdr:col>22</xdr:col>
      <xdr:colOff>16808</xdr:colOff>
      <xdr:row>53</xdr:row>
      <xdr:rowOff>1118906</xdr:rowOff>
    </xdr:from>
    <xdr:to>
      <xdr:col>23</xdr:col>
      <xdr:colOff>1163730</xdr:colOff>
      <xdr:row>53</xdr:row>
      <xdr:rowOff>2947747</xdr:rowOff>
    </xdr:to>
    <xdr:pic>
      <xdr:nvPicPr>
        <xdr:cNvPr id="57" name="Picture 56" descr="Chart, radar chart&#10;&#10;Description automatically generated">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99955" y="14532347"/>
          <a:ext cx="2390775" cy="1828841"/>
        </a:xfrm>
        <a:prstGeom prst="rect">
          <a:avLst/>
        </a:prstGeom>
      </xdr:spPr>
    </xdr:pic>
    <xdr:clientData/>
  </xdr:twoCellAnchor>
  <xdr:twoCellAnchor editAs="oneCell">
    <xdr:from>
      <xdr:col>26</xdr:col>
      <xdr:colOff>998443</xdr:colOff>
      <xdr:row>53</xdr:row>
      <xdr:rowOff>1159247</xdr:rowOff>
    </xdr:from>
    <xdr:to>
      <xdr:col>28</xdr:col>
      <xdr:colOff>901513</xdr:colOff>
      <xdr:row>53</xdr:row>
      <xdr:rowOff>2988088</xdr:rowOff>
    </xdr:to>
    <xdr:pic>
      <xdr:nvPicPr>
        <xdr:cNvPr id="58" name="Picture 57" descr="Chart, radar chart&#10;&#10;Description automatically generated">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046767" y="14572688"/>
          <a:ext cx="2390775" cy="1828841"/>
        </a:xfrm>
        <a:prstGeom prst="rect">
          <a:avLst/>
        </a:prstGeom>
      </xdr:spPr>
    </xdr:pic>
    <xdr:clientData/>
  </xdr:twoCellAnchor>
  <xdr:twoCellAnchor editAs="oneCell">
    <xdr:from>
      <xdr:col>32</xdr:col>
      <xdr:colOff>11206</xdr:colOff>
      <xdr:row>53</xdr:row>
      <xdr:rowOff>1120588</xdr:rowOff>
    </xdr:from>
    <xdr:to>
      <xdr:col>33</xdr:col>
      <xdr:colOff>1158128</xdr:colOff>
      <xdr:row>53</xdr:row>
      <xdr:rowOff>2949429</xdr:rowOff>
    </xdr:to>
    <xdr:pic>
      <xdr:nvPicPr>
        <xdr:cNvPr id="59" name="Picture 58" descr="Chart, radar chart&#10;&#10;Description automatically generated">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12412" y="14534029"/>
          <a:ext cx="2390775" cy="1828841"/>
        </a:xfrm>
        <a:prstGeom prst="rect">
          <a:avLst/>
        </a:prstGeom>
      </xdr:spPr>
    </xdr:pic>
    <xdr:clientData/>
  </xdr:twoCellAnchor>
  <xdr:twoCellAnchor editAs="oneCell">
    <xdr:from>
      <xdr:col>36</xdr:col>
      <xdr:colOff>1221441</xdr:colOff>
      <xdr:row>53</xdr:row>
      <xdr:rowOff>1064558</xdr:rowOff>
    </xdr:from>
    <xdr:to>
      <xdr:col>38</xdr:col>
      <xdr:colOff>1124510</xdr:colOff>
      <xdr:row>53</xdr:row>
      <xdr:rowOff>2893399</xdr:rowOff>
    </xdr:to>
    <xdr:pic>
      <xdr:nvPicPr>
        <xdr:cNvPr id="60" name="Picture 59" descr="Chart, radar chart&#10;&#10;Description automatically generated">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87823" y="14477999"/>
          <a:ext cx="2390775" cy="1828841"/>
        </a:xfrm>
        <a:prstGeom prst="rect">
          <a:avLst/>
        </a:prstGeom>
      </xdr:spPr>
    </xdr:pic>
    <xdr:clientData/>
  </xdr:twoCellAnchor>
  <xdr:twoCellAnchor editAs="oneCell">
    <xdr:from>
      <xdr:col>42</xdr:col>
      <xdr:colOff>89647</xdr:colOff>
      <xdr:row>53</xdr:row>
      <xdr:rowOff>1042147</xdr:rowOff>
    </xdr:from>
    <xdr:to>
      <xdr:col>43</xdr:col>
      <xdr:colOff>1236569</xdr:colOff>
      <xdr:row>53</xdr:row>
      <xdr:rowOff>2870988</xdr:rowOff>
    </xdr:to>
    <xdr:pic>
      <xdr:nvPicPr>
        <xdr:cNvPr id="61" name="Picture 60" descr="Chart, radar chart&#10;&#10;Description automatically generated">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08912" y="14455588"/>
          <a:ext cx="2390775" cy="1828841"/>
        </a:xfrm>
        <a:prstGeom prst="rect">
          <a:avLst/>
        </a:prstGeom>
      </xdr:spPr>
    </xdr:pic>
    <xdr:clientData/>
  </xdr:twoCellAnchor>
  <xdr:twoCellAnchor editAs="oneCell">
    <xdr:from>
      <xdr:col>47</xdr:col>
      <xdr:colOff>100853</xdr:colOff>
      <xdr:row>53</xdr:row>
      <xdr:rowOff>1086971</xdr:rowOff>
    </xdr:from>
    <xdr:to>
      <xdr:col>49</xdr:col>
      <xdr:colOff>3922</xdr:colOff>
      <xdr:row>53</xdr:row>
      <xdr:rowOff>2915812</xdr:rowOff>
    </xdr:to>
    <xdr:pic>
      <xdr:nvPicPr>
        <xdr:cNvPr id="62" name="Picture 61" descr="Chart, radar chart&#10;&#10;Description automatically generated">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29147" y="14500412"/>
          <a:ext cx="2390775" cy="1828841"/>
        </a:xfrm>
        <a:prstGeom prst="rect">
          <a:avLst/>
        </a:prstGeom>
      </xdr:spPr>
    </xdr:pic>
    <xdr:clientData/>
  </xdr:twoCellAnchor>
  <xdr:twoCellAnchor editAs="oneCell">
    <xdr:from>
      <xdr:col>52</xdr:col>
      <xdr:colOff>179294</xdr:colOff>
      <xdr:row>53</xdr:row>
      <xdr:rowOff>986118</xdr:rowOff>
    </xdr:from>
    <xdr:to>
      <xdr:col>54</xdr:col>
      <xdr:colOff>82364</xdr:colOff>
      <xdr:row>53</xdr:row>
      <xdr:rowOff>2814959</xdr:rowOff>
    </xdr:to>
    <xdr:pic>
      <xdr:nvPicPr>
        <xdr:cNvPr id="63" name="Picture 62" descr="Chart, radar chart&#10;&#10;Description automatically generated">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16618" y="14399559"/>
          <a:ext cx="2390775" cy="1828841"/>
        </a:xfrm>
        <a:prstGeom prst="rect">
          <a:avLst/>
        </a:prstGeom>
      </xdr:spPr>
    </xdr:pic>
    <xdr:clientData/>
  </xdr:twoCellAnchor>
  <xdr:twoCellAnchor editAs="oneCell">
    <xdr:from>
      <xdr:col>57</xdr:col>
      <xdr:colOff>62753</xdr:colOff>
      <xdr:row>53</xdr:row>
      <xdr:rowOff>1015252</xdr:rowOff>
    </xdr:from>
    <xdr:to>
      <xdr:col>58</xdr:col>
      <xdr:colOff>1209675</xdr:colOff>
      <xdr:row>53</xdr:row>
      <xdr:rowOff>2844093</xdr:rowOff>
    </xdr:to>
    <xdr:pic>
      <xdr:nvPicPr>
        <xdr:cNvPr id="64" name="Picture 63" descr="Chart, radar chart&#10;&#10;Description automatically generated">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09106" y="14428693"/>
          <a:ext cx="2390775" cy="1828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50</xdr:row>
          <xdr:rowOff>137160</xdr:rowOff>
        </xdr:from>
        <xdr:to>
          <xdr:col>4</xdr:col>
          <xdr:colOff>1066800</xdr:colOff>
          <xdr:row>50</xdr:row>
          <xdr:rowOff>708660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1247774</xdr:colOff>
      <xdr:row>50</xdr:row>
      <xdr:rowOff>760094</xdr:rowOff>
    </xdr:from>
    <xdr:to>
      <xdr:col>3</xdr:col>
      <xdr:colOff>1162049</xdr:colOff>
      <xdr:row>50</xdr:row>
      <xdr:rowOff>2588935</xdr:rowOff>
    </xdr:to>
    <xdr:pic>
      <xdr:nvPicPr>
        <xdr:cNvPr id="3" name="Picture 2" descr="Chart, radar chart&#10;&#10;Description automatically generated">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71949" y="13247369"/>
          <a:ext cx="2400300" cy="1828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106680</xdr:colOff>
          <xdr:row>50</xdr:row>
          <xdr:rowOff>144780</xdr:rowOff>
        </xdr:from>
        <xdr:to>
          <xdr:col>9</xdr:col>
          <xdr:colOff>1089660</xdr:colOff>
          <xdr:row>50</xdr:row>
          <xdr:rowOff>693420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50</xdr:row>
          <xdr:rowOff>144780</xdr:rowOff>
        </xdr:from>
        <xdr:to>
          <xdr:col>14</xdr:col>
          <xdr:colOff>1074420</xdr:colOff>
          <xdr:row>50</xdr:row>
          <xdr:rowOff>708660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50</xdr:row>
          <xdr:rowOff>160020</xdr:rowOff>
        </xdr:from>
        <xdr:to>
          <xdr:col>19</xdr:col>
          <xdr:colOff>1066800</xdr:colOff>
          <xdr:row>50</xdr:row>
          <xdr:rowOff>746760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50</xdr:row>
          <xdr:rowOff>190500</xdr:rowOff>
        </xdr:from>
        <xdr:to>
          <xdr:col>24</xdr:col>
          <xdr:colOff>998220</xdr:colOff>
          <xdr:row>50</xdr:row>
          <xdr:rowOff>792480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137160</xdr:colOff>
          <xdr:row>50</xdr:row>
          <xdr:rowOff>198120</xdr:rowOff>
        </xdr:from>
        <xdr:to>
          <xdr:col>29</xdr:col>
          <xdr:colOff>1089660</xdr:colOff>
          <xdr:row>50</xdr:row>
          <xdr:rowOff>800100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27</xdr:col>
      <xdr:colOff>34289</xdr:colOff>
      <xdr:row>50</xdr:row>
      <xdr:rowOff>836294</xdr:rowOff>
    </xdr:from>
    <xdr:to>
      <xdr:col>28</xdr:col>
      <xdr:colOff>1209674</xdr:colOff>
      <xdr:row>51</xdr:row>
      <xdr:rowOff>70525</xdr:rowOff>
    </xdr:to>
    <xdr:pic>
      <xdr:nvPicPr>
        <xdr:cNvPr id="9" name="Picture 8" descr="Chart, radar chart&#10;&#10;Description automatically generated">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161739" y="13323569"/>
          <a:ext cx="2423160" cy="18250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31</xdr:col>
          <xdr:colOff>121920</xdr:colOff>
          <xdr:row>50</xdr:row>
          <xdr:rowOff>228600</xdr:rowOff>
        </xdr:from>
        <xdr:to>
          <xdr:col>34</xdr:col>
          <xdr:colOff>1074420</xdr:colOff>
          <xdr:row>50</xdr:row>
          <xdr:rowOff>830580</xdr:rowOff>
        </xdr:to>
        <xdr:sp macro="" textlink="">
          <xdr:nvSpPr>
            <xdr:cNvPr id="4103" name="Object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160020</xdr:colOff>
          <xdr:row>50</xdr:row>
          <xdr:rowOff>266700</xdr:rowOff>
        </xdr:from>
        <xdr:to>
          <xdr:col>39</xdr:col>
          <xdr:colOff>1112520</xdr:colOff>
          <xdr:row>50</xdr:row>
          <xdr:rowOff>868680</xdr:rowOff>
        </xdr:to>
        <xdr:sp macro="" textlink="">
          <xdr:nvSpPr>
            <xdr:cNvPr id="4104" name="Object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37</xdr:col>
      <xdr:colOff>47624</xdr:colOff>
      <xdr:row>50</xdr:row>
      <xdr:rowOff>925829</xdr:rowOff>
    </xdr:from>
    <xdr:to>
      <xdr:col>38</xdr:col>
      <xdr:colOff>1223009</xdr:colOff>
      <xdr:row>51</xdr:row>
      <xdr:rowOff>160060</xdr:rowOff>
    </xdr:to>
    <xdr:pic>
      <xdr:nvPicPr>
        <xdr:cNvPr id="12" name="Picture 11" descr="Chart, radar chart&#10;&#10;Description automatically generated">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14424" y="13413104"/>
          <a:ext cx="2423160" cy="18250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41</xdr:col>
          <xdr:colOff>160020</xdr:colOff>
          <xdr:row>50</xdr:row>
          <xdr:rowOff>266700</xdr:rowOff>
        </xdr:from>
        <xdr:to>
          <xdr:col>44</xdr:col>
          <xdr:colOff>1112520</xdr:colOff>
          <xdr:row>50</xdr:row>
          <xdr:rowOff>868680</xdr:rowOff>
        </xdr:to>
        <xdr:sp macro="" textlink="">
          <xdr:nvSpPr>
            <xdr:cNvPr id="4105" name="Object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144780</xdr:colOff>
          <xdr:row>50</xdr:row>
          <xdr:rowOff>304800</xdr:rowOff>
        </xdr:from>
        <xdr:to>
          <xdr:col>49</xdr:col>
          <xdr:colOff>1097280</xdr:colOff>
          <xdr:row>50</xdr:row>
          <xdr:rowOff>906780</xdr:rowOff>
        </xdr:to>
        <xdr:sp macro="" textlink="">
          <xdr:nvSpPr>
            <xdr:cNvPr id="4106" name="Object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220980</xdr:colOff>
          <xdr:row>50</xdr:row>
          <xdr:rowOff>327660</xdr:rowOff>
        </xdr:from>
        <xdr:to>
          <xdr:col>54</xdr:col>
          <xdr:colOff>1173480</xdr:colOff>
          <xdr:row>50</xdr:row>
          <xdr:rowOff>922020</xdr:rowOff>
        </xdr:to>
        <xdr:sp macro="" textlink="">
          <xdr:nvSpPr>
            <xdr:cNvPr id="4107" name="Object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41909</xdr:colOff>
      <xdr:row>50</xdr:row>
      <xdr:rowOff>758996</xdr:rowOff>
    </xdr:from>
    <xdr:to>
      <xdr:col>8</xdr:col>
      <xdr:colOff>1171574</xdr:colOff>
      <xdr:row>50</xdr:row>
      <xdr:rowOff>2544119</xdr:rowOff>
    </xdr:to>
    <xdr:pic>
      <xdr:nvPicPr>
        <xdr:cNvPr id="16" name="Picture 15" descr="Chart, radar chart&#10;&#10;Description automatically generated">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04959" y="13246271"/>
          <a:ext cx="2367915" cy="1785123"/>
        </a:xfrm>
        <a:prstGeom prst="rect">
          <a:avLst/>
        </a:prstGeom>
      </xdr:spPr>
    </xdr:pic>
    <xdr:clientData/>
  </xdr:twoCellAnchor>
  <xdr:twoCellAnchor editAs="oneCell">
    <xdr:from>
      <xdr:col>16</xdr:col>
      <xdr:colOff>1253489</xdr:colOff>
      <xdr:row>50</xdr:row>
      <xdr:rowOff>777239</xdr:rowOff>
    </xdr:from>
    <xdr:to>
      <xdr:col>18</xdr:col>
      <xdr:colOff>1148714</xdr:colOff>
      <xdr:row>51</xdr:row>
      <xdr:rowOff>15280</xdr:rowOff>
    </xdr:to>
    <xdr:pic>
      <xdr:nvPicPr>
        <xdr:cNvPr id="17" name="Picture 16" descr="Chart, radar chart&#10;&#10;Description automatically generated">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539" y="13264514"/>
          <a:ext cx="2400300" cy="1828841"/>
        </a:xfrm>
        <a:prstGeom prst="rect">
          <a:avLst/>
        </a:prstGeom>
      </xdr:spPr>
    </xdr:pic>
    <xdr:clientData/>
  </xdr:twoCellAnchor>
  <xdr:twoCellAnchor editAs="oneCell">
    <xdr:from>
      <xdr:col>32</xdr:col>
      <xdr:colOff>41910</xdr:colOff>
      <xdr:row>50</xdr:row>
      <xdr:rowOff>842010</xdr:rowOff>
    </xdr:from>
    <xdr:to>
      <xdr:col>34</xdr:col>
      <xdr:colOff>13335</xdr:colOff>
      <xdr:row>51</xdr:row>
      <xdr:rowOff>134529</xdr:rowOff>
    </xdr:to>
    <xdr:pic>
      <xdr:nvPicPr>
        <xdr:cNvPr id="18" name="Picture 17" descr="Chart, radar chart&#10;&#10;Description automatically generated">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4189035" y="13329285"/>
          <a:ext cx="2466975" cy="1883319"/>
        </a:xfrm>
        <a:prstGeom prst="rect">
          <a:avLst/>
        </a:prstGeom>
      </xdr:spPr>
    </xdr:pic>
    <xdr:clientData/>
  </xdr:twoCellAnchor>
  <xdr:twoCellAnchor editAs="oneCell">
    <xdr:from>
      <xdr:col>42</xdr:col>
      <xdr:colOff>177165</xdr:colOff>
      <xdr:row>50</xdr:row>
      <xdr:rowOff>903195</xdr:rowOff>
    </xdr:from>
    <xdr:to>
      <xdr:col>44</xdr:col>
      <xdr:colOff>148590</xdr:colOff>
      <xdr:row>51</xdr:row>
      <xdr:rowOff>195714</xdr:rowOff>
    </xdr:to>
    <xdr:pic>
      <xdr:nvPicPr>
        <xdr:cNvPr id="19" name="Picture 18" descr="Chart, radar chart&#10;&#10;Description automatically generated">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363640" y="13390470"/>
          <a:ext cx="2466975" cy="1883319"/>
        </a:xfrm>
        <a:prstGeom prst="rect">
          <a:avLst/>
        </a:prstGeom>
      </xdr:spPr>
    </xdr:pic>
    <xdr:clientData/>
  </xdr:twoCellAnchor>
  <xdr:twoCellAnchor editAs="oneCell">
    <xdr:from>
      <xdr:col>52</xdr:col>
      <xdr:colOff>95026</xdr:colOff>
      <xdr:row>50</xdr:row>
      <xdr:rowOff>934010</xdr:rowOff>
    </xdr:from>
    <xdr:to>
      <xdr:col>54</xdr:col>
      <xdr:colOff>66451</xdr:colOff>
      <xdr:row>51</xdr:row>
      <xdr:rowOff>226529</xdr:rowOff>
    </xdr:to>
    <xdr:pic>
      <xdr:nvPicPr>
        <xdr:cNvPr id="20" name="Picture 19" descr="Chart, radar chart&#10;&#10;Description automatically generated">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339901" y="13421285"/>
          <a:ext cx="2466975" cy="1883319"/>
        </a:xfrm>
        <a:prstGeom prst="rect">
          <a:avLst/>
        </a:prstGeom>
      </xdr:spPr>
    </xdr:pic>
    <xdr:clientData/>
  </xdr:twoCellAnchor>
  <xdr:twoCellAnchor editAs="oneCell">
    <xdr:from>
      <xdr:col>7</xdr:col>
      <xdr:colOff>181646</xdr:colOff>
      <xdr:row>52</xdr:row>
      <xdr:rowOff>73757</xdr:rowOff>
    </xdr:from>
    <xdr:to>
      <xdr:col>9</xdr:col>
      <xdr:colOff>45720</xdr:colOff>
      <xdr:row>52</xdr:row>
      <xdr:rowOff>1889969</xdr:rowOff>
    </xdr:to>
    <xdr:pic>
      <xdr:nvPicPr>
        <xdr:cNvPr id="21" name="Picture 20" descr="Chart, radar chart&#10;&#10;Description automatically generated">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44696" y="15523307"/>
          <a:ext cx="2340574" cy="1816212"/>
        </a:xfrm>
        <a:prstGeom prst="rect">
          <a:avLst/>
        </a:prstGeom>
      </xdr:spPr>
    </xdr:pic>
    <xdr:clientData/>
  </xdr:twoCellAnchor>
  <xdr:twoCellAnchor editAs="oneCell">
    <xdr:from>
      <xdr:col>17</xdr:col>
      <xdr:colOff>33617</xdr:colOff>
      <xdr:row>52</xdr:row>
      <xdr:rowOff>112059</xdr:rowOff>
    </xdr:from>
    <xdr:to>
      <xdr:col>19</xdr:col>
      <xdr:colOff>5041</xdr:colOff>
      <xdr:row>52</xdr:row>
      <xdr:rowOff>2000308</xdr:rowOff>
    </xdr:to>
    <xdr:pic>
      <xdr:nvPicPr>
        <xdr:cNvPr id="22" name="Picture 21" descr="Chart, radar chart&#10;&#10;Description automatically generated">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16967" y="15561609"/>
          <a:ext cx="2466974" cy="1888249"/>
        </a:xfrm>
        <a:prstGeom prst="rect">
          <a:avLst/>
        </a:prstGeom>
      </xdr:spPr>
    </xdr:pic>
    <xdr:clientData/>
  </xdr:twoCellAnchor>
  <xdr:twoCellAnchor editAs="oneCell">
    <xdr:from>
      <xdr:col>42</xdr:col>
      <xdr:colOff>217954</xdr:colOff>
      <xdr:row>52</xdr:row>
      <xdr:rowOff>87407</xdr:rowOff>
    </xdr:from>
    <xdr:to>
      <xdr:col>44</xdr:col>
      <xdr:colOff>189378</xdr:colOff>
      <xdr:row>52</xdr:row>
      <xdr:rowOff>1975656</xdr:rowOff>
    </xdr:to>
    <xdr:pic>
      <xdr:nvPicPr>
        <xdr:cNvPr id="23" name="Picture 22" descr="Chart, radar chart&#10;&#10;Description automatically generated">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404429" y="15536957"/>
          <a:ext cx="2466974" cy="1888249"/>
        </a:xfrm>
        <a:prstGeom prst="rect">
          <a:avLst/>
        </a:prstGeom>
      </xdr:spPr>
    </xdr:pic>
    <xdr:clientData/>
  </xdr:twoCellAnchor>
  <xdr:twoCellAnchor editAs="oneCell">
    <xdr:from>
      <xdr:col>52</xdr:col>
      <xdr:colOff>195543</xdr:colOff>
      <xdr:row>52</xdr:row>
      <xdr:rowOff>121584</xdr:rowOff>
    </xdr:from>
    <xdr:to>
      <xdr:col>54</xdr:col>
      <xdr:colOff>166968</xdr:colOff>
      <xdr:row>52</xdr:row>
      <xdr:rowOff>2009833</xdr:rowOff>
    </xdr:to>
    <xdr:pic>
      <xdr:nvPicPr>
        <xdr:cNvPr id="24" name="Picture 23" descr="Chart, radar chart&#10;&#10;Description automatically generated">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440418" y="15571134"/>
          <a:ext cx="2466975" cy="1888249"/>
        </a:xfrm>
        <a:prstGeom prst="rect">
          <a:avLst/>
        </a:prstGeom>
      </xdr:spPr>
    </xdr:pic>
    <xdr:clientData/>
  </xdr:twoCellAnchor>
  <xdr:twoCellAnchor editAs="oneCell">
    <xdr:from>
      <xdr:col>22</xdr:col>
      <xdr:colOff>161029</xdr:colOff>
      <xdr:row>50</xdr:row>
      <xdr:rowOff>809961</xdr:rowOff>
    </xdr:from>
    <xdr:to>
      <xdr:col>24</xdr:col>
      <xdr:colOff>132454</xdr:colOff>
      <xdr:row>51</xdr:row>
      <xdr:rowOff>102480</xdr:rowOff>
    </xdr:to>
    <xdr:pic>
      <xdr:nvPicPr>
        <xdr:cNvPr id="25" name="Picture 24" descr="Chart, radar chart&#10;&#10;Description automatically generated">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364054" y="13297236"/>
          <a:ext cx="2466975" cy="1883319"/>
        </a:xfrm>
        <a:prstGeom prst="rect">
          <a:avLst/>
        </a:prstGeom>
      </xdr:spPr>
    </xdr:pic>
    <xdr:clientData/>
  </xdr:twoCellAnchor>
  <xdr:twoCellAnchor editAs="oneCell">
    <xdr:from>
      <xdr:col>27</xdr:col>
      <xdr:colOff>30480</xdr:colOff>
      <xdr:row>52</xdr:row>
      <xdr:rowOff>121920</xdr:rowOff>
    </xdr:from>
    <xdr:to>
      <xdr:col>29</xdr:col>
      <xdr:colOff>1905</xdr:colOff>
      <xdr:row>52</xdr:row>
      <xdr:rowOff>2005239</xdr:rowOff>
    </xdr:to>
    <xdr:pic>
      <xdr:nvPicPr>
        <xdr:cNvPr id="26" name="Picture 25" descr="Chart, radar chart&#10;&#10;Description automatically generated">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157930" y="15571470"/>
          <a:ext cx="2466975" cy="1883319"/>
        </a:xfrm>
        <a:prstGeom prst="rect">
          <a:avLst/>
        </a:prstGeom>
      </xdr:spPr>
    </xdr:pic>
    <xdr:clientData/>
  </xdr:twoCellAnchor>
  <xdr:twoCellAnchor editAs="oneCell">
    <xdr:from>
      <xdr:col>2</xdr:col>
      <xdr:colOff>388621</xdr:colOff>
      <xdr:row>53</xdr:row>
      <xdr:rowOff>105657</xdr:rowOff>
    </xdr:from>
    <xdr:to>
      <xdr:col>3</xdr:col>
      <xdr:colOff>951167</xdr:colOff>
      <xdr:row>53</xdr:row>
      <xdr:rowOff>1623060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a:stretch>
          <a:fillRect/>
        </a:stretch>
      </xdr:blipFill>
      <xdr:spPr>
        <a:xfrm>
          <a:off x="4560571" y="17612607"/>
          <a:ext cx="1800796" cy="1517403"/>
        </a:xfrm>
        <a:prstGeom prst="rect">
          <a:avLst/>
        </a:prstGeom>
      </xdr:spPr>
    </xdr:pic>
    <xdr:clientData/>
  </xdr:twoCellAnchor>
  <xdr:twoCellAnchor editAs="oneCell">
    <xdr:from>
      <xdr:col>12</xdr:col>
      <xdr:colOff>343438</xdr:colOff>
      <xdr:row>53</xdr:row>
      <xdr:rowOff>82806</xdr:rowOff>
    </xdr:from>
    <xdr:to>
      <xdr:col>13</xdr:col>
      <xdr:colOff>879570</xdr:colOff>
      <xdr:row>53</xdr:row>
      <xdr:rowOff>1584670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a:stretch>
          <a:fillRect/>
        </a:stretch>
      </xdr:blipFill>
      <xdr:spPr>
        <a:xfrm>
          <a:off x="14507113" y="17589756"/>
          <a:ext cx="1783907" cy="1501864"/>
        </a:xfrm>
        <a:prstGeom prst="rect">
          <a:avLst/>
        </a:prstGeom>
      </xdr:spPr>
    </xdr:pic>
    <xdr:clientData/>
  </xdr:twoCellAnchor>
  <xdr:twoCellAnchor editAs="oneCell">
    <xdr:from>
      <xdr:col>27</xdr:col>
      <xdr:colOff>323766</xdr:colOff>
      <xdr:row>53</xdr:row>
      <xdr:rowOff>99363</xdr:rowOff>
    </xdr:from>
    <xdr:to>
      <xdr:col>28</xdr:col>
      <xdr:colOff>838282</xdr:colOff>
      <xdr:row>53</xdr:row>
      <xdr:rowOff>1583353</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4"/>
        <a:stretch>
          <a:fillRect/>
        </a:stretch>
      </xdr:blipFill>
      <xdr:spPr>
        <a:xfrm>
          <a:off x="29451216" y="17606313"/>
          <a:ext cx="1762291" cy="1483990"/>
        </a:xfrm>
        <a:prstGeom prst="rect">
          <a:avLst/>
        </a:prstGeom>
      </xdr:spPr>
    </xdr:pic>
    <xdr:clientData/>
  </xdr:twoCellAnchor>
  <xdr:twoCellAnchor editAs="oneCell">
    <xdr:from>
      <xdr:col>17</xdr:col>
      <xdr:colOff>364313</xdr:colOff>
      <xdr:row>53</xdr:row>
      <xdr:rowOff>96748</xdr:rowOff>
    </xdr:from>
    <xdr:to>
      <xdr:col>18</xdr:col>
      <xdr:colOff>922021</xdr:colOff>
      <xdr:row>53</xdr:row>
      <xdr:rowOff>1612716</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
        <a:stretch>
          <a:fillRect/>
        </a:stretch>
      </xdr:blipFill>
      <xdr:spPr>
        <a:xfrm>
          <a:off x="19547663" y="17603698"/>
          <a:ext cx="1805483" cy="1515968"/>
        </a:xfrm>
        <a:prstGeom prst="rect">
          <a:avLst/>
        </a:prstGeom>
      </xdr:spPr>
    </xdr:pic>
    <xdr:clientData/>
  </xdr:twoCellAnchor>
  <xdr:twoCellAnchor editAs="oneCell">
    <xdr:from>
      <xdr:col>22</xdr:col>
      <xdr:colOff>444065</xdr:colOff>
      <xdr:row>53</xdr:row>
      <xdr:rowOff>112996</xdr:rowOff>
    </xdr:from>
    <xdr:to>
      <xdr:col>23</xdr:col>
      <xdr:colOff>977201</xdr:colOff>
      <xdr:row>53</xdr:row>
      <xdr:rowOff>1615440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6"/>
        <a:stretch>
          <a:fillRect/>
        </a:stretch>
      </xdr:blipFill>
      <xdr:spPr>
        <a:xfrm>
          <a:off x="24647090" y="17619946"/>
          <a:ext cx="1780911" cy="1502444"/>
        </a:xfrm>
        <a:prstGeom prst="rect">
          <a:avLst/>
        </a:prstGeom>
      </xdr:spPr>
    </xdr:pic>
    <xdr:clientData/>
  </xdr:twoCellAnchor>
  <xdr:twoCellAnchor editAs="oneCell">
    <xdr:from>
      <xdr:col>42</xdr:col>
      <xdr:colOff>510129</xdr:colOff>
      <xdr:row>53</xdr:row>
      <xdr:rowOff>90664</xdr:rowOff>
    </xdr:from>
    <xdr:to>
      <xdr:col>43</xdr:col>
      <xdr:colOff>1078777</xdr:colOff>
      <xdr:row>53</xdr:row>
      <xdr:rowOff>1622532</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6"/>
        <a:stretch>
          <a:fillRect/>
        </a:stretch>
      </xdr:blipFill>
      <xdr:spPr>
        <a:xfrm>
          <a:off x="44696604" y="17597614"/>
          <a:ext cx="1816423" cy="1531868"/>
        </a:xfrm>
        <a:prstGeom prst="rect">
          <a:avLst/>
        </a:prstGeom>
      </xdr:spPr>
    </xdr:pic>
    <xdr:clientData/>
  </xdr:twoCellAnchor>
  <xdr:twoCellAnchor editAs="oneCell">
    <xdr:from>
      <xdr:col>32</xdr:col>
      <xdr:colOff>474545</xdr:colOff>
      <xdr:row>53</xdr:row>
      <xdr:rowOff>135856</xdr:rowOff>
    </xdr:from>
    <xdr:to>
      <xdr:col>33</xdr:col>
      <xdr:colOff>1007681</xdr:colOff>
      <xdr:row>53</xdr:row>
      <xdr:rowOff>1638300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34621670" y="17642806"/>
          <a:ext cx="1780911" cy="1502444"/>
        </a:xfrm>
        <a:prstGeom prst="rect">
          <a:avLst/>
        </a:prstGeom>
      </xdr:spPr>
    </xdr:pic>
    <xdr:clientData/>
  </xdr:twoCellAnchor>
  <xdr:twoCellAnchor editAs="oneCell">
    <xdr:from>
      <xdr:col>37</xdr:col>
      <xdr:colOff>287186</xdr:colOff>
      <xdr:row>53</xdr:row>
      <xdr:rowOff>104703</xdr:rowOff>
    </xdr:from>
    <xdr:to>
      <xdr:col>38</xdr:col>
      <xdr:colOff>876494</xdr:colOff>
      <xdr:row>53</xdr:row>
      <xdr:rowOff>1649213</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39453986" y="17611653"/>
          <a:ext cx="1837083" cy="1544510"/>
        </a:xfrm>
        <a:prstGeom prst="rect">
          <a:avLst/>
        </a:prstGeom>
      </xdr:spPr>
    </xdr:pic>
    <xdr:clientData/>
  </xdr:twoCellAnchor>
  <xdr:twoCellAnchor editAs="oneCell">
    <xdr:from>
      <xdr:col>52</xdr:col>
      <xdr:colOff>532728</xdr:colOff>
      <xdr:row>53</xdr:row>
      <xdr:rowOff>108249</xdr:rowOff>
    </xdr:from>
    <xdr:to>
      <xdr:col>53</xdr:col>
      <xdr:colOff>1104126</xdr:colOff>
      <xdr:row>53</xdr:row>
      <xdr:rowOff>1615441</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8"/>
        <a:stretch>
          <a:fillRect/>
        </a:stretch>
      </xdr:blipFill>
      <xdr:spPr>
        <a:xfrm>
          <a:off x="54777603" y="17615199"/>
          <a:ext cx="1819173" cy="1507192"/>
        </a:xfrm>
        <a:prstGeom prst="rect">
          <a:avLst/>
        </a:prstGeom>
      </xdr:spPr>
    </xdr:pic>
    <xdr:clientData/>
  </xdr:twoCellAnchor>
  <xdr:twoCellAnchor editAs="oneCell">
    <xdr:from>
      <xdr:col>7</xdr:col>
      <xdr:colOff>396240</xdr:colOff>
      <xdr:row>53</xdr:row>
      <xdr:rowOff>121920</xdr:rowOff>
    </xdr:from>
    <xdr:to>
      <xdr:col>8</xdr:col>
      <xdr:colOff>920687</xdr:colOff>
      <xdr:row>53</xdr:row>
      <xdr:rowOff>1607820</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4"/>
        <a:stretch>
          <a:fillRect/>
        </a:stretch>
      </xdr:blipFill>
      <xdr:spPr>
        <a:xfrm>
          <a:off x="9559290" y="17628870"/>
          <a:ext cx="1762697" cy="1485900"/>
        </a:xfrm>
        <a:prstGeom prst="rect">
          <a:avLst/>
        </a:prstGeom>
      </xdr:spPr>
    </xdr:pic>
    <xdr:clientData/>
  </xdr:twoCellAnchor>
  <xdr:twoCellAnchor editAs="oneCell">
    <xdr:from>
      <xdr:col>47</xdr:col>
      <xdr:colOff>320040</xdr:colOff>
      <xdr:row>53</xdr:row>
      <xdr:rowOff>99060</xdr:rowOff>
    </xdr:from>
    <xdr:to>
      <xdr:col>48</xdr:col>
      <xdr:colOff>891438</xdr:colOff>
      <xdr:row>53</xdr:row>
      <xdr:rowOff>1606252</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8"/>
        <a:stretch>
          <a:fillRect/>
        </a:stretch>
      </xdr:blipFill>
      <xdr:spPr>
        <a:xfrm>
          <a:off x="49535715" y="17606010"/>
          <a:ext cx="1819173" cy="1507192"/>
        </a:xfrm>
        <a:prstGeom prst="rect">
          <a:avLst/>
        </a:prstGeom>
      </xdr:spPr>
    </xdr:pic>
    <xdr:clientData/>
  </xdr:twoCellAnchor>
  <xdr:twoCellAnchor editAs="oneCell">
    <xdr:from>
      <xdr:col>12</xdr:col>
      <xdr:colOff>30480</xdr:colOff>
      <xdr:row>52</xdr:row>
      <xdr:rowOff>121920</xdr:rowOff>
    </xdr:from>
    <xdr:to>
      <xdr:col>14</xdr:col>
      <xdr:colOff>1904</xdr:colOff>
      <xdr:row>52</xdr:row>
      <xdr:rowOff>2010169</xdr:rowOff>
    </xdr:to>
    <xdr:pic>
      <xdr:nvPicPr>
        <xdr:cNvPr id="38" name="Picture 37" descr="Chart, radar chart&#10;&#10;Description automatically generated">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194155" y="15571470"/>
          <a:ext cx="2466974" cy="1888249"/>
        </a:xfrm>
        <a:prstGeom prst="rect">
          <a:avLst/>
        </a:prstGeom>
      </xdr:spPr>
    </xdr:pic>
    <xdr:clientData/>
  </xdr:twoCellAnchor>
  <xdr:twoCellAnchor editAs="oneCell">
    <xdr:from>
      <xdr:col>37</xdr:col>
      <xdr:colOff>30480</xdr:colOff>
      <xdr:row>52</xdr:row>
      <xdr:rowOff>129540</xdr:rowOff>
    </xdr:from>
    <xdr:to>
      <xdr:col>39</xdr:col>
      <xdr:colOff>1905</xdr:colOff>
      <xdr:row>52</xdr:row>
      <xdr:rowOff>2012859</xdr:rowOff>
    </xdr:to>
    <xdr:pic>
      <xdr:nvPicPr>
        <xdr:cNvPr id="39" name="Picture 38" descr="Chart, radar chart&#10;&#10;Description automatically generated">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197280" y="15579090"/>
          <a:ext cx="2466975" cy="1883319"/>
        </a:xfrm>
        <a:prstGeom prst="rect">
          <a:avLst/>
        </a:prstGeom>
      </xdr:spPr>
    </xdr:pic>
    <xdr:clientData/>
  </xdr:twoCellAnchor>
  <xdr:twoCellAnchor editAs="oneCell">
    <xdr:from>
      <xdr:col>2</xdr:col>
      <xdr:colOff>22860</xdr:colOff>
      <xdr:row>52</xdr:row>
      <xdr:rowOff>220980</xdr:rowOff>
    </xdr:from>
    <xdr:to>
      <xdr:col>3</xdr:col>
      <xdr:colOff>1220097</xdr:colOff>
      <xdr:row>52</xdr:row>
      <xdr:rowOff>1813560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9"/>
        <a:stretch>
          <a:fillRect/>
        </a:stretch>
      </xdr:blipFill>
      <xdr:spPr>
        <a:xfrm>
          <a:off x="4194810" y="15670530"/>
          <a:ext cx="2435487" cy="1592580"/>
        </a:xfrm>
        <a:prstGeom prst="rect">
          <a:avLst/>
        </a:prstGeom>
      </xdr:spPr>
    </xdr:pic>
    <xdr:clientData/>
  </xdr:twoCellAnchor>
  <xdr:twoCellAnchor editAs="oneCell">
    <xdr:from>
      <xdr:col>2</xdr:col>
      <xdr:colOff>53340</xdr:colOff>
      <xdr:row>52</xdr:row>
      <xdr:rowOff>38100</xdr:rowOff>
    </xdr:from>
    <xdr:to>
      <xdr:col>3</xdr:col>
      <xdr:colOff>1906</xdr:colOff>
      <xdr:row>52</xdr:row>
      <xdr:rowOff>244092</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0"/>
        <a:stretch>
          <a:fillRect/>
        </a:stretch>
      </xdr:blipFill>
      <xdr:spPr>
        <a:xfrm>
          <a:off x="4225290" y="15487650"/>
          <a:ext cx="1186816" cy="205992"/>
        </a:xfrm>
        <a:prstGeom prst="rect">
          <a:avLst/>
        </a:prstGeom>
      </xdr:spPr>
    </xdr:pic>
    <xdr:clientData/>
  </xdr:twoCellAnchor>
  <xdr:twoCellAnchor editAs="oneCell">
    <xdr:from>
      <xdr:col>22</xdr:col>
      <xdr:colOff>22860</xdr:colOff>
      <xdr:row>52</xdr:row>
      <xdr:rowOff>284060</xdr:rowOff>
    </xdr:from>
    <xdr:to>
      <xdr:col>23</xdr:col>
      <xdr:colOff>1194089</xdr:colOff>
      <xdr:row>52</xdr:row>
      <xdr:rowOff>1876199</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1"/>
        <a:stretch>
          <a:fillRect/>
        </a:stretch>
      </xdr:blipFill>
      <xdr:spPr>
        <a:xfrm>
          <a:off x="24225885" y="15733610"/>
          <a:ext cx="2419004" cy="1592139"/>
        </a:xfrm>
        <a:prstGeom prst="rect">
          <a:avLst/>
        </a:prstGeom>
      </xdr:spPr>
    </xdr:pic>
    <xdr:clientData/>
  </xdr:twoCellAnchor>
  <xdr:twoCellAnchor editAs="oneCell">
    <xdr:from>
      <xdr:col>22</xdr:col>
      <xdr:colOff>22860</xdr:colOff>
      <xdr:row>52</xdr:row>
      <xdr:rowOff>83820</xdr:rowOff>
    </xdr:from>
    <xdr:to>
      <xdr:col>22</xdr:col>
      <xdr:colOff>1219201</xdr:colOff>
      <xdr:row>52</xdr:row>
      <xdr:rowOff>289812</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0"/>
        <a:stretch>
          <a:fillRect/>
        </a:stretch>
      </xdr:blipFill>
      <xdr:spPr>
        <a:xfrm>
          <a:off x="24225885" y="15533370"/>
          <a:ext cx="1196341" cy="205992"/>
        </a:xfrm>
        <a:prstGeom prst="rect">
          <a:avLst/>
        </a:prstGeom>
      </xdr:spPr>
    </xdr:pic>
    <xdr:clientData/>
  </xdr:twoCellAnchor>
  <xdr:twoCellAnchor editAs="oneCell">
    <xdr:from>
      <xdr:col>32</xdr:col>
      <xdr:colOff>121920</xdr:colOff>
      <xdr:row>52</xdr:row>
      <xdr:rowOff>284060</xdr:rowOff>
    </xdr:from>
    <xdr:to>
      <xdr:col>34</xdr:col>
      <xdr:colOff>12989</xdr:colOff>
      <xdr:row>52</xdr:row>
      <xdr:rowOff>1876199</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1"/>
        <a:stretch>
          <a:fillRect/>
        </a:stretch>
      </xdr:blipFill>
      <xdr:spPr>
        <a:xfrm>
          <a:off x="34269045" y="15733610"/>
          <a:ext cx="2386619" cy="1592139"/>
        </a:xfrm>
        <a:prstGeom prst="rect">
          <a:avLst/>
        </a:prstGeom>
      </xdr:spPr>
    </xdr:pic>
    <xdr:clientData/>
  </xdr:twoCellAnchor>
  <xdr:twoCellAnchor editAs="oneCell">
    <xdr:from>
      <xdr:col>32</xdr:col>
      <xdr:colOff>121920</xdr:colOff>
      <xdr:row>52</xdr:row>
      <xdr:rowOff>83820</xdr:rowOff>
    </xdr:from>
    <xdr:to>
      <xdr:col>33</xdr:col>
      <xdr:colOff>38101</xdr:colOff>
      <xdr:row>52</xdr:row>
      <xdr:rowOff>289812</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0"/>
        <a:stretch>
          <a:fillRect/>
        </a:stretch>
      </xdr:blipFill>
      <xdr:spPr>
        <a:xfrm>
          <a:off x="34269045" y="15533370"/>
          <a:ext cx="1163956" cy="205992"/>
        </a:xfrm>
        <a:prstGeom prst="rect">
          <a:avLst/>
        </a:prstGeom>
      </xdr:spPr>
    </xdr:pic>
    <xdr:clientData/>
  </xdr:twoCellAnchor>
  <xdr:twoCellAnchor editAs="oneCell">
    <xdr:from>
      <xdr:col>47</xdr:col>
      <xdr:colOff>164351</xdr:colOff>
      <xdr:row>52</xdr:row>
      <xdr:rowOff>266700</xdr:rowOff>
    </xdr:from>
    <xdr:to>
      <xdr:col>49</xdr:col>
      <xdr:colOff>100621</xdr:colOff>
      <xdr:row>52</xdr:row>
      <xdr:rowOff>1882140</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2"/>
        <a:stretch>
          <a:fillRect/>
        </a:stretch>
      </xdr:blipFill>
      <xdr:spPr>
        <a:xfrm>
          <a:off x="49380026" y="15716250"/>
          <a:ext cx="2431820" cy="1615440"/>
        </a:xfrm>
        <a:prstGeom prst="rect">
          <a:avLst/>
        </a:prstGeom>
      </xdr:spPr>
    </xdr:pic>
    <xdr:clientData/>
  </xdr:twoCellAnchor>
  <xdr:twoCellAnchor editAs="oneCell">
    <xdr:from>
      <xdr:col>47</xdr:col>
      <xdr:colOff>144780</xdr:colOff>
      <xdr:row>52</xdr:row>
      <xdr:rowOff>68580</xdr:rowOff>
    </xdr:from>
    <xdr:to>
      <xdr:col>48</xdr:col>
      <xdr:colOff>60961</xdr:colOff>
      <xdr:row>52</xdr:row>
      <xdr:rowOff>274572</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0"/>
        <a:stretch>
          <a:fillRect/>
        </a:stretch>
      </xdr:blipFill>
      <xdr:spPr>
        <a:xfrm>
          <a:off x="49360455" y="15518130"/>
          <a:ext cx="1163956" cy="205992"/>
        </a:xfrm>
        <a:prstGeom prst="rect">
          <a:avLst/>
        </a:prstGeom>
      </xdr:spPr>
    </xdr:pic>
    <xdr:clientData/>
  </xdr:twoCellAnchor>
  <xdr:twoCellAnchor editAs="oneCell">
    <xdr:from>
      <xdr:col>12</xdr:col>
      <xdr:colOff>45720</xdr:colOff>
      <xdr:row>50</xdr:row>
      <xdr:rowOff>800100</xdr:rowOff>
    </xdr:from>
    <xdr:to>
      <xdr:col>13</xdr:col>
      <xdr:colOff>1221105</xdr:colOff>
      <xdr:row>51</xdr:row>
      <xdr:rowOff>38141</xdr:rowOff>
    </xdr:to>
    <xdr:pic>
      <xdr:nvPicPr>
        <xdr:cNvPr id="50" name="Picture 49" descr="Chart, radar chart&#10;&#10;Description automatically generated">
          <a:extLst>
            <a:ext uri="{FF2B5EF4-FFF2-40B4-BE49-F238E27FC236}">
              <a16:creationId xmlns:a16="http://schemas.microsoft.com/office/drawing/2014/main" id="{67602D31-B60E-42C7-9A34-65CE19F3A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99920" y="13022580"/>
          <a:ext cx="2455545" cy="1828841"/>
        </a:xfrm>
        <a:prstGeom prst="rect">
          <a:avLst/>
        </a:prstGeom>
      </xdr:spPr>
    </xdr:pic>
    <xdr:clientData/>
  </xdr:twoCellAnchor>
  <xdr:twoCellAnchor editAs="oneCell">
    <xdr:from>
      <xdr:col>47</xdr:col>
      <xdr:colOff>160020</xdr:colOff>
      <xdr:row>50</xdr:row>
      <xdr:rowOff>960120</xdr:rowOff>
    </xdr:from>
    <xdr:to>
      <xdr:col>49</xdr:col>
      <xdr:colOff>55245</xdr:colOff>
      <xdr:row>51</xdr:row>
      <xdr:rowOff>198161</xdr:rowOff>
    </xdr:to>
    <xdr:pic>
      <xdr:nvPicPr>
        <xdr:cNvPr id="51" name="Picture 50" descr="Chart, radar chart&#10;&#10;Description automatically generated">
          <a:extLst>
            <a:ext uri="{FF2B5EF4-FFF2-40B4-BE49-F238E27FC236}">
              <a16:creationId xmlns:a16="http://schemas.microsoft.com/office/drawing/2014/main" id="{D8C134EE-571B-4C64-AB2A-3F5A82C4F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88240" y="13182600"/>
          <a:ext cx="2455545" cy="18288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1367118</xdr:colOff>
      <xdr:row>50</xdr:row>
      <xdr:rowOff>862853</xdr:rowOff>
    </xdr:from>
    <xdr:to>
      <xdr:col>13</xdr:col>
      <xdr:colOff>825266</xdr:colOff>
      <xdr:row>50</xdr:row>
      <xdr:rowOff>2778499</xdr:rowOff>
    </xdr:to>
    <xdr:pic>
      <xdr:nvPicPr>
        <xdr:cNvPr id="2" name="Picture 1" descr="Chart, radar chart&#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78268" y="13673978"/>
          <a:ext cx="2496623" cy="19156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106680</xdr:colOff>
          <xdr:row>50</xdr:row>
          <xdr:rowOff>121920</xdr:rowOff>
        </xdr:from>
        <xdr:to>
          <xdr:col>4</xdr:col>
          <xdr:colOff>1059180</xdr:colOff>
          <xdr:row>50</xdr:row>
          <xdr:rowOff>693420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22412</xdr:colOff>
      <xdr:row>50</xdr:row>
      <xdr:rowOff>885264</xdr:rowOff>
    </xdr:from>
    <xdr:to>
      <xdr:col>3</xdr:col>
      <xdr:colOff>1161490</xdr:colOff>
      <xdr:row>50</xdr:row>
      <xdr:rowOff>2714105</xdr:rowOff>
    </xdr:to>
    <xdr:pic>
      <xdr:nvPicPr>
        <xdr:cNvPr id="4" name="Picture 3" descr="Chart, radar chart&#10;&#10;Description automatically generated">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70562" y="13696389"/>
          <a:ext cx="2386853" cy="1828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175260</xdr:colOff>
          <xdr:row>50</xdr:row>
          <xdr:rowOff>137160</xdr:rowOff>
        </xdr:from>
        <xdr:to>
          <xdr:col>9</xdr:col>
          <xdr:colOff>960120</xdr:colOff>
          <xdr:row>50</xdr:row>
          <xdr:rowOff>708660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7</xdr:col>
      <xdr:colOff>6722</xdr:colOff>
      <xdr:row>50</xdr:row>
      <xdr:rowOff>847164</xdr:rowOff>
    </xdr:from>
    <xdr:to>
      <xdr:col>8</xdr:col>
      <xdr:colOff>921683</xdr:colOff>
      <xdr:row>50</xdr:row>
      <xdr:rowOff>2676005</xdr:rowOff>
    </xdr:to>
    <xdr:pic>
      <xdr:nvPicPr>
        <xdr:cNvPr id="6" name="Picture 5" descr="Chart, radar chart&#10;&#10;Description automatically generated">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74547" y="13658289"/>
          <a:ext cx="2381811" cy="1828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495300</xdr:colOff>
          <xdr:row>50</xdr:row>
          <xdr:rowOff>76200</xdr:rowOff>
        </xdr:from>
        <xdr:to>
          <xdr:col>14</xdr:col>
          <xdr:colOff>822960</xdr:colOff>
          <xdr:row>50</xdr:row>
          <xdr:rowOff>792480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50</xdr:row>
          <xdr:rowOff>76200</xdr:rowOff>
        </xdr:from>
        <xdr:to>
          <xdr:col>19</xdr:col>
          <xdr:colOff>1036320</xdr:colOff>
          <xdr:row>50</xdr:row>
          <xdr:rowOff>792480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16</xdr:col>
      <xdr:colOff>1232645</xdr:colOff>
      <xdr:row>50</xdr:row>
      <xdr:rowOff>885265</xdr:rowOff>
    </xdr:from>
    <xdr:to>
      <xdr:col>18</xdr:col>
      <xdr:colOff>1203074</xdr:colOff>
      <xdr:row>50</xdr:row>
      <xdr:rowOff>2756647</xdr:rowOff>
    </xdr:to>
    <xdr:pic>
      <xdr:nvPicPr>
        <xdr:cNvPr id="9" name="Picture 8" descr="Chart, radar chart&#10;&#10;Description automatically generated">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806395" y="13696390"/>
          <a:ext cx="2465979" cy="1871382"/>
        </a:xfrm>
        <a:prstGeom prst="rect">
          <a:avLst/>
        </a:prstGeom>
      </xdr:spPr>
    </xdr:pic>
    <xdr:clientData/>
  </xdr:twoCellAnchor>
  <xdr:twoCellAnchor editAs="oneCell">
    <xdr:from>
      <xdr:col>7</xdr:col>
      <xdr:colOff>136710</xdr:colOff>
      <xdr:row>52</xdr:row>
      <xdr:rowOff>159121</xdr:rowOff>
    </xdr:from>
    <xdr:to>
      <xdr:col>8</xdr:col>
      <xdr:colOff>1051671</xdr:colOff>
      <xdr:row>52</xdr:row>
      <xdr:rowOff>1987962</xdr:rowOff>
    </xdr:to>
    <xdr:pic>
      <xdr:nvPicPr>
        <xdr:cNvPr id="10" name="Picture 9" descr="Chart, radar chart&#10;&#10;Description automatically generated">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04535" y="15961096"/>
          <a:ext cx="2381811" cy="1828841"/>
        </a:xfrm>
        <a:prstGeom prst="rect">
          <a:avLst/>
        </a:prstGeom>
      </xdr:spPr>
    </xdr:pic>
    <xdr:clientData/>
  </xdr:twoCellAnchor>
  <xdr:twoCellAnchor editAs="oneCell">
    <xdr:from>
      <xdr:col>11</xdr:col>
      <xdr:colOff>1492622</xdr:colOff>
      <xdr:row>52</xdr:row>
      <xdr:rowOff>159121</xdr:rowOff>
    </xdr:from>
    <xdr:to>
      <xdr:col>13</xdr:col>
      <xdr:colOff>914957</xdr:colOff>
      <xdr:row>52</xdr:row>
      <xdr:rowOff>2047370</xdr:rowOff>
    </xdr:to>
    <xdr:pic>
      <xdr:nvPicPr>
        <xdr:cNvPr id="11" name="Picture 10" descr="Chart, radar chart&#10;&#10;Description automatically generated">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503772" y="15961096"/>
          <a:ext cx="2460810" cy="1888249"/>
        </a:xfrm>
        <a:prstGeom prst="rect">
          <a:avLst/>
        </a:prstGeom>
      </xdr:spPr>
    </xdr:pic>
    <xdr:clientData/>
  </xdr:twoCellAnchor>
  <xdr:twoCellAnchor editAs="oneCell">
    <xdr:from>
      <xdr:col>17</xdr:col>
      <xdr:colOff>62751</xdr:colOff>
      <xdr:row>52</xdr:row>
      <xdr:rowOff>208429</xdr:rowOff>
    </xdr:from>
    <xdr:to>
      <xdr:col>19</xdr:col>
      <xdr:colOff>33180</xdr:colOff>
      <xdr:row>52</xdr:row>
      <xdr:rowOff>2079811</xdr:rowOff>
    </xdr:to>
    <xdr:pic>
      <xdr:nvPicPr>
        <xdr:cNvPr id="12" name="Picture 11" descr="Chart, radar chart&#10;&#10;Description automatically generated">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884276" y="16010404"/>
          <a:ext cx="2465979" cy="1871382"/>
        </a:xfrm>
        <a:prstGeom prst="rect">
          <a:avLst/>
        </a:prstGeom>
      </xdr:spPr>
    </xdr:pic>
    <xdr:clientData/>
  </xdr:twoCellAnchor>
  <xdr:twoCellAnchor editAs="oneCell">
    <xdr:from>
      <xdr:col>2</xdr:col>
      <xdr:colOff>9524</xdr:colOff>
      <xdr:row>52</xdr:row>
      <xdr:rowOff>171450</xdr:rowOff>
    </xdr:from>
    <xdr:to>
      <xdr:col>3</xdr:col>
      <xdr:colOff>1115116</xdr:colOff>
      <xdr:row>52</xdr:row>
      <xdr:rowOff>1971675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257674" y="15973425"/>
          <a:ext cx="2353367" cy="1800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xdr:colOff>
          <xdr:row>50</xdr:row>
          <xdr:rowOff>45720</xdr:rowOff>
        </xdr:from>
        <xdr:to>
          <xdr:col>3</xdr:col>
          <xdr:colOff>1455420</xdr:colOff>
          <xdr:row>50</xdr:row>
          <xdr:rowOff>762000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1000125</xdr:colOff>
      <xdr:row>50</xdr:row>
      <xdr:rowOff>802005</xdr:rowOff>
    </xdr:from>
    <xdr:to>
      <xdr:col>3</xdr:col>
      <xdr:colOff>373156</xdr:colOff>
      <xdr:row>50</xdr:row>
      <xdr:rowOff>2630846</xdr:rowOff>
    </xdr:to>
    <xdr:pic>
      <xdr:nvPicPr>
        <xdr:cNvPr id="3" name="Picture 2" descr="Chart, radar chart&#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4800" y="12908280"/>
          <a:ext cx="2382931" cy="18288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50</xdr:row>
          <xdr:rowOff>45720</xdr:rowOff>
        </xdr:from>
        <xdr:to>
          <xdr:col>7</xdr:col>
          <xdr:colOff>1447800</xdr:colOff>
          <xdr:row>50</xdr:row>
          <xdr:rowOff>762000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1068705</xdr:colOff>
      <xdr:row>50</xdr:row>
      <xdr:rowOff>843915</xdr:rowOff>
    </xdr:from>
    <xdr:to>
      <xdr:col>7</xdr:col>
      <xdr:colOff>553748</xdr:colOff>
      <xdr:row>50</xdr:row>
      <xdr:rowOff>2759561</xdr:rowOff>
    </xdr:to>
    <xdr:pic>
      <xdr:nvPicPr>
        <xdr:cNvPr id="5" name="Picture 4" descr="Chart, radar chart&#10;&#10;Description automatically generated">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6805" y="12950190"/>
          <a:ext cx="2494943" cy="19156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190500</xdr:colOff>
          <xdr:row>50</xdr:row>
          <xdr:rowOff>60960</xdr:rowOff>
        </xdr:from>
        <xdr:to>
          <xdr:col>12</xdr:col>
          <xdr:colOff>899160</xdr:colOff>
          <xdr:row>50</xdr:row>
          <xdr:rowOff>784860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764242</xdr:colOff>
      <xdr:row>52</xdr:row>
      <xdr:rowOff>169769</xdr:rowOff>
    </xdr:from>
    <xdr:to>
      <xdr:col>3</xdr:col>
      <xdr:colOff>137273</xdr:colOff>
      <xdr:row>52</xdr:row>
      <xdr:rowOff>1998610</xdr:rowOff>
    </xdr:to>
    <xdr:pic>
      <xdr:nvPicPr>
        <xdr:cNvPr id="7" name="Picture 6" descr="Chart, radar chart&#10;&#10;Description automatically generated">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78917" y="15266894"/>
          <a:ext cx="2382931" cy="1828841"/>
        </a:xfrm>
        <a:prstGeom prst="rect">
          <a:avLst/>
        </a:prstGeom>
      </xdr:spPr>
    </xdr:pic>
    <xdr:clientData/>
  </xdr:twoCellAnchor>
  <xdr:twoCellAnchor editAs="oneCell">
    <xdr:from>
      <xdr:col>5</xdr:col>
      <xdr:colOff>1097840</xdr:colOff>
      <xdr:row>52</xdr:row>
      <xdr:rowOff>207645</xdr:rowOff>
    </xdr:from>
    <xdr:to>
      <xdr:col>7</xdr:col>
      <xdr:colOff>582883</xdr:colOff>
      <xdr:row>52</xdr:row>
      <xdr:rowOff>2123291</xdr:rowOff>
    </xdr:to>
    <xdr:pic>
      <xdr:nvPicPr>
        <xdr:cNvPr id="8" name="Picture 7" descr="Chart, radar chart&#10;&#10;Description automatically generated">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5940" y="15304770"/>
          <a:ext cx="2494943" cy="1915646"/>
        </a:xfrm>
        <a:prstGeom prst="rect">
          <a:avLst/>
        </a:prstGeom>
      </xdr:spPr>
    </xdr:pic>
    <xdr:clientData/>
  </xdr:twoCellAnchor>
  <xdr:twoCellAnchor editAs="oneCell">
    <xdr:from>
      <xdr:col>10</xdr:col>
      <xdr:colOff>11318</xdr:colOff>
      <xdr:row>52</xdr:row>
      <xdr:rowOff>209886</xdr:rowOff>
    </xdr:from>
    <xdr:to>
      <xdr:col>12</xdr:col>
      <xdr:colOff>11831</xdr:colOff>
      <xdr:row>52</xdr:row>
      <xdr:rowOff>2125532</xdr:rowOff>
    </xdr:to>
    <xdr:pic>
      <xdr:nvPicPr>
        <xdr:cNvPr id="9" name="Picture 8" descr="Chart, radar chart&#10;&#10;Description automatically generated">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51093" y="15307011"/>
          <a:ext cx="2477013" cy="1915646"/>
        </a:xfrm>
        <a:prstGeom prst="rect">
          <a:avLst/>
        </a:prstGeom>
      </xdr:spPr>
    </xdr:pic>
    <xdr:clientData/>
  </xdr:twoCellAnchor>
  <xdr:twoCellAnchor editAs="oneCell">
    <xdr:from>
      <xdr:col>10</xdr:col>
      <xdr:colOff>30480</xdr:colOff>
      <xdr:row>50</xdr:row>
      <xdr:rowOff>1074608</xdr:rowOff>
    </xdr:from>
    <xdr:to>
      <xdr:col>12</xdr:col>
      <xdr:colOff>45720</xdr:colOff>
      <xdr:row>50</xdr:row>
      <xdr:rowOff>2699579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13470255" y="13180883"/>
          <a:ext cx="2491740" cy="1624971"/>
        </a:xfrm>
        <a:prstGeom prst="rect">
          <a:avLst/>
        </a:prstGeom>
      </xdr:spPr>
    </xdr:pic>
    <xdr:clientData/>
  </xdr:twoCellAnchor>
  <xdr:twoCellAnchor editAs="oneCell">
    <xdr:from>
      <xdr:col>10</xdr:col>
      <xdr:colOff>22859</xdr:colOff>
      <xdr:row>50</xdr:row>
      <xdr:rowOff>853441</xdr:rowOff>
    </xdr:from>
    <xdr:to>
      <xdr:col>10</xdr:col>
      <xdr:colOff>1219200</xdr:colOff>
      <xdr:row>50</xdr:row>
      <xdr:rowOff>1059433</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13462634" y="12959716"/>
          <a:ext cx="1196341" cy="2059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xdr:colOff>
          <xdr:row>44</xdr:row>
          <xdr:rowOff>60960</xdr:rowOff>
        </xdr:from>
        <xdr:to>
          <xdr:col>4</xdr:col>
          <xdr:colOff>1143000</xdr:colOff>
          <xdr:row>44</xdr:row>
          <xdr:rowOff>1112520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44</xdr:row>
          <xdr:rowOff>60960</xdr:rowOff>
        </xdr:from>
        <xdr:to>
          <xdr:col>9</xdr:col>
          <xdr:colOff>1143000</xdr:colOff>
          <xdr:row>44</xdr:row>
          <xdr:rowOff>1112520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44</xdr:row>
          <xdr:rowOff>60960</xdr:rowOff>
        </xdr:from>
        <xdr:to>
          <xdr:col>14</xdr:col>
          <xdr:colOff>1219200</xdr:colOff>
          <xdr:row>44</xdr:row>
          <xdr:rowOff>1112520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100853</xdr:colOff>
      <xdr:row>44</xdr:row>
      <xdr:rowOff>1199029</xdr:rowOff>
    </xdr:from>
    <xdr:to>
      <xdr:col>3</xdr:col>
      <xdr:colOff>1143000</xdr:colOff>
      <xdr:row>44</xdr:row>
      <xdr:rowOff>2953478</xdr:rowOff>
    </xdr:to>
    <xdr:pic>
      <xdr:nvPicPr>
        <xdr:cNvPr id="8" name="Picture 7" descr="Chart, radar chart&#10;&#10;Description automatically generated">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3559" y="13312588"/>
          <a:ext cx="2286000" cy="1754449"/>
        </a:xfrm>
        <a:prstGeom prst="rect">
          <a:avLst/>
        </a:prstGeom>
      </xdr:spPr>
    </xdr:pic>
    <xdr:clientData/>
  </xdr:twoCellAnchor>
  <xdr:twoCellAnchor editAs="oneCell">
    <xdr:from>
      <xdr:col>7</xdr:col>
      <xdr:colOff>85165</xdr:colOff>
      <xdr:row>44</xdr:row>
      <xdr:rowOff>1183341</xdr:rowOff>
    </xdr:from>
    <xdr:to>
      <xdr:col>8</xdr:col>
      <xdr:colOff>1127312</xdr:colOff>
      <xdr:row>44</xdr:row>
      <xdr:rowOff>2937790</xdr:rowOff>
    </xdr:to>
    <xdr:pic>
      <xdr:nvPicPr>
        <xdr:cNvPr id="9" name="Picture 8" descr="Chart, radar chart&#10;&#10;Description automatically generated">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86900" y="13296900"/>
          <a:ext cx="2286000" cy="1754449"/>
        </a:xfrm>
        <a:prstGeom prst="rect">
          <a:avLst/>
        </a:prstGeom>
      </xdr:spPr>
    </xdr:pic>
    <xdr:clientData/>
  </xdr:twoCellAnchor>
  <xdr:twoCellAnchor editAs="oneCell">
    <xdr:from>
      <xdr:col>12</xdr:col>
      <xdr:colOff>80681</xdr:colOff>
      <xdr:row>44</xdr:row>
      <xdr:rowOff>1212476</xdr:rowOff>
    </xdr:from>
    <xdr:to>
      <xdr:col>13</xdr:col>
      <xdr:colOff>1190064</xdr:colOff>
      <xdr:row>44</xdr:row>
      <xdr:rowOff>2966925</xdr:rowOff>
    </xdr:to>
    <xdr:pic>
      <xdr:nvPicPr>
        <xdr:cNvPr id="10" name="Picture 9" descr="Chart, radar chart&#10;&#10;Description automatically generated">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91446" y="13326035"/>
          <a:ext cx="2286000" cy="1754449"/>
        </a:xfrm>
        <a:prstGeom prst="rect">
          <a:avLst/>
        </a:prstGeom>
      </xdr:spPr>
    </xdr:pic>
    <xdr:clientData/>
  </xdr:twoCellAnchor>
  <xdr:twoCellAnchor editAs="oneCell">
    <xdr:from>
      <xdr:col>2</xdr:col>
      <xdr:colOff>44824</xdr:colOff>
      <xdr:row>46</xdr:row>
      <xdr:rowOff>78442</xdr:rowOff>
    </xdr:from>
    <xdr:to>
      <xdr:col>3</xdr:col>
      <xdr:colOff>1131794</xdr:colOff>
      <xdr:row>46</xdr:row>
      <xdr:rowOff>1868170</xdr:rowOff>
    </xdr:to>
    <xdr:pic>
      <xdr:nvPicPr>
        <xdr:cNvPr id="11" name="Picture 10" descr="Chart, radar chart&#10;&#10;Description automatically generated">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7530" y="15430501"/>
          <a:ext cx="2330823" cy="1789728"/>
        </a:xfrm>
        <a:prstGeom prst="rect">
          <a:avLst/>
        </a:prstGeom>
      </xdr:spPr>
    </xdr:pic>
    <xdr:clientData/>
  </xdr:twoCellAnchor>
  <xdr:twoCellAnchor editAs="oneCell">
    <xdr:from>
      <xdr:col>7</xdr:col>
      <xdr:colOff>118784</xdr:colOff>
      <xdr:row>46</xdr:row>
      <xdr:rowOff>96371</xdr:rowOff>
    </xdr:from>
    <xdr:to>
      <xdr:col>8</xdr:col>
      <xdr:colOff>1205754</xdr:colOff>
      <xdr:row>46</xdr:row>
      <xdr:rowOff>1886099</xdr:rowOff>
    </xdr:to>
    <xdr:pic>
      <xdr:nvPicPr>
        <xdr:cNvPr id="12" name="Picture 11" descr="Chart, radar chart&#10;&#10;Description automatically generated">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0519" y="15448430"/>
          <a:ext cx="2330823" cy="1789728"/>
        </a:xfrm>
        <a:prstGeom prst="rect">
          <a:avLst/>
        </a:prstGeom>
      </xdr:spPr>
    </xdr:pic>
    <xdr:clientData/>
  </xdr:twoCellAnchor>
  <xdr:twoCellAnchor editAs="oneCell">
    <xdr:from>
      <xdr:col>12</xdr:col>
      <xdr:colOff>192742</xdr:colOff>
      <xdr:row>46</xdr:row>
      <xdr:rowOff>170329</xdr:rowOff>
    </xdr:from>
    <xdr:to>
      <xdr:col>14</xdr:col>
      <xdr:colOff>103095</xdr:colOff>
      <xdr:row>46</xdr:row>
      <xdr:rowOff>1960057</xdr:rowOff>
    </xdr:to>
    <xdr:pic>
      <xdr:nvPicPr>
        <xdr:cNvPr id="13" name="Picture 12" descr="Chart, radar chart&#10;&#10;Description automatically generated">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603507" y="15522388"/>
          <a:ext cx="2330823" cy="1789728"/>
        </a:xfrm>
        <a:prstGeom prst="rect">
          <a:avLst/>
        </a:prstGeom>
      </xdr:spPr>
    </xdr:pic>
    <xdr:clientData/>
  </xdr:twoCellAnchor>
  <xdr:twoCellAnchor editAs="oneCell">
    <xdr:from>
      <xdr:col>2</xdr:col>
      <xdr:colOff>147918</xdr:colOff>
      <xdr:row>47</xdr:row>
      <xdr:rowOff>80682</xdr:rowOff>
    </xdr:from>
    <xdr:to>
      <xdr:col>3</xdr:col>
      <xdr:colOff>986950</xdr:colOff>
      <xdr:row>47</xdr:row>
      <xdr:rowOff>1792941</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3"/>
        <a:stretch>
          <a:fillRect/>
        </a:stretch>
      </xdr:blipFill>
      <xdr:spPr>
        <a:xfrm>
          <a:off x="4540624" y="17629094"/>
          <a:ext cx="2082885" cy="1712259"/>
        </a:xfrm>
        <a:prstGeom prst="rect">
          <a:avLst/>
        </a:prstGeom>
      </xdr:spPr>
    </xdr:pic>
    <xdr:clientData/>
  </xdr:twoCellAnchor>
  <xdr:twoCellAnchor editAs="oneCell">
    <xdr:from>
      <xdr:col>7</xdr:col>
      <xdr:colOff>177053</xdr:colOff>
      <xdr:row>47</xdr:row>
      <xdr:rowOff>87406</xdr:rowOff>
    </xdr:from>
    <xdr:to>
      <xdr:col>8</xdr:col>
      <xdr:colOff>1016085</xdr:colOff>
      <xdr:row>47</xdr:row>
      <xdr:rowOff>1799665</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a:stretch>
          <a:fillRect/>
        </a:stretch>
      </xdr:blipFill>
      <xdr:spPr>
        <a:xfrm>
          <a:off x="9578788" y="17635818"/>
          <a:ext cx="2082885" cy="1712259"/>
        </a:xfrm>
        <a:prstGeom prst="rect">
          <a:avLst/>
        </a:prstGeom>
      </xdr:spPr>
    </xdr:pic>
    <xdr:clientData/>
  </xdr:twoCellAnchor>
  <xdr:twoCellAnchor editAs="oneCell">
    <xdr:from>
      <xdr:col>12</xdr:col>
      <xdr:colOff>273423</xdr:colOff>
      <xdr:row>47</xdr:row>
      <xdr:rowOff>94130</xdr:rowOff>
    </xdr:from>
    <xdr:to>
      <xdr:col>13</xdr:col>
      <xdr:colOff>1179691</xdr:colOff>
      <xdr:row>47</xdr:row>
      <xdr:rowOff>1806389</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a:stretch>
          <a:fillRect/>
        </a:stretch>
      </xdr:blipFill>
      <xdr:spPr>
        <a:xfrm>
          <a:off x="14684188" y="17642542"/>
          <a:ext cx="2082885" cy="17122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274320</xdr:colOff>
          <xdr:row>41</xdr:row>
          <xdr:rowOff>83820</xdr:rowOff>
        </xdr:from>
        <xdr:to>
          <xdr:col>4</xdr:col>
          <xdr:colOff>990600</xdr:colOff>
          <xdr:row>41</xdr:row>
          <xdr:rowOff>640080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220980</xdr:colOff>
          <xdr:row>41</xdr:row>
          <xdr:rowOff>106680</xdr:rowOff>
        </xdr:from>
        <xdr:to>
          <xdr:col>9</xdr:col>
          <xdr:colOff>922020</xdr:colOff>
          <xdr:row>41</xdr:row>
          <xdr:rowOff>655320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289560</xdr:colOff>
          <xdr:row>41</xdr:row>
          <xdr:rowOff>99060</xdr:rowOff>
        </xdr:from>
        <xdr:to>
          <xdr:col>14</xdr:col>
          <xdr:colOff>990600</xdr:colOff>
          <xdr:row>41</xdr:row>
          <xdr:rowOff>647700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133350</xdr:colOff>
      <xdr:row>41</xdr:row>
      <xdr:rowOff>762000</xdr:rowOff>
    </xdr:from>
    <xdr:to>
      <xdr:col>4</xdr:col>
      <xdr:colOff>33058</xdr:colOff>
      <xdr:row>41</xdr:row>
      <xdr:rowOff>2590841</xdr:rowOff>
    </xdr:to>
    <xdr:pic>
      <xdr:nvPicPr>
        <xdr:cNvPr id="5" name="Picture 4" descr="Chart, radar chart&#10;&#10;Description automatically generated">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6275" y="11572875"/>
          <a:ext cx="2376208" cy="1828841"/>
        </a:xfrm>
        <a:prstGeom prst="rect">
          <a:avLst/>
        </a:prstGeom>
      </xdr:spPr>
    </xdr:pic>
    <xdr:clientData/>
  </xdr:twoCellAnchor>
  <xdr:twoCellAnchor editAs="oneCell">
    <xdr:from>
      <xdr:col>6</xdr:col>
      <xdr:colOff>1200150</xdr:colOff>
      <xdr:row>41</xdr:row>
      <xdr:rowOff>809625</xdr:rowOff>
    </xdr:from>
    <xdr:to>
      <xdr:col>8</xdr:col>
      <xdr:colOff>1099858</xdr:colOff>
      <xdr:row>41</xdr:row>
      <xdr:rowOff>2638466</xdr:rowOff>
    </xdr:to>
    <xdr:pic>
      <xdr:nvPicPr>
        <xdr:cNvPr id="6" name="Picture 5" descr="Chart, radar chart&#10;&#10;Description automatically generated">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96400" y="11620500"/>
          <a:ext cx="2376208" cy="1828841"/>
        </a:xfrm>
        <a:prstGeom prst="rect">
          <a:avLst/>
        </a:prstGeom>
      </xdr:spPr>
    </xdr:pic>
    <xdr:clientData/>
  </xdr:twoCellAnchor>
  <xdr:twoCellAnchor editAs="oneCell">
    <xdr:from>
      <xdr:col>12</xdr:col>
      <xdr:colOff>228600</xdr:colOff>
      <xdr:row>41</xdr:row>
      <xdr:rowOff>819150</xdr:rowOff>
    </xdr:from>
    <xdr:to>
      <xdr:col>14</xdr:col>
      <xdr:colOff>128308</xdr:colOff>
      <xdr:row>41</xdr:row>
      <xdr:rowOff>2647991</xdr:rowOff>
    </xdr:to>
    <xdr:pic>
      <xdr:nvPicPr>
        <xdr:cNvPr id="7" name="Picture 6" descr="Chart, radar chart&#10;&#10;Description automatically generated">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44675" y="11630025"/>
          <a:ext cx="2376208" cy="1828841"/>
        </a:xfrm>
        <a:prstGeom prst="rect">
          <a:avLst/>
        </a:prstGeom>
      </xdr:spPr>
    </xdr:pic>
    <xdr:clientData/>
  </xdr:twoCellAnchor>
  <xdr:twoCellAnchor editAs="oneCell">
    <xdr:from>
      <xdr:col>2</xdr:col>
      <xdr:colOff>86958</xdr:colOff>
      <xdr:row>43</xdr:row>
      <xdr:rowOff>177501</xdr:rowOff>
    </xdr:from>
    <xdr:to>
      <xdr:col>3</xdr:col>
      <xdr:colOff>1224916</xdr:colOff>
      <xdr:row>43</xdr:row>
      <xdr:rowOff>2006342</xdr:rowOff>
    </xdr:to>
    <xdr:pic>
      <xdr:nvPicPr>
        <xdr:cNvPr id="8" name="Picture 7" descr="Chart, radar chart&#10;&#10;Description automatically generated">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9883" y="13979226"/>
          <a:ext cx="2376208" cy="1828841"/>
        </a:xfrm>
        <a:prstGeom prst="rect">
          <a:avLst/>
        </a:prstGeom>
      </xdr:spPr>
    </xdr:pic>
    <xdr:clientData/>
  </xdr:twoCellAnchor>
  <xdr:twoCellAnchor editAs="oneCell">
    <xdr:from>
      <xdr:col>7</xdr:col>
      <xdr:colOff>11206</xdr:colOff>
      <xdr:row>43</xdr:row>
      <xdr:rowOff>122816</xdr:rowOff>
    </xdr:from>
    <xdr:to>
      <xdr:col>8</xdr:col>
      <xdr:colOff>1149164</xdr:colOff>
      <xdr:row>43</xdr:row>
      <xdr:rowOff>1951657</xdr:rowOff>
    </xdr:to>
    <xdr:pic>
      <xdr:nvPicPr>
        <xdr:cNvPr id="9" name="Picture 8" descr="Chart, radar chart&#10;&#10;Description automatically generated">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45706" y="13924541"/>
          <a:ext cx="2376208" cy="1828841"/>
        </a:xfrm>
        <a:prstGeom prst="rect">
          <a:avLst/>
        </a:prstGeom>
      </xdr:spPr>
    </xdr:pic>
    <xdr:clientData/>
  </xdr:twoCellAnchor>
  <xdr:twoCellAnchor editAs="oneCell">
    <xdr:from>
      <xdr:col>12</xdr:col>
      <xdr:colOff>359149</xdr:colOff>
      <xdr:row>43</xdr:row>
      <xdr:rowOff>121584</xdr:rowOff>
    </xdr:from>
    <xdr:to>
      <xdr:col>14</xdr:col>
      <xdr:colOff>258857</xdr:colOff>
      <xdr:row>43</xdr:row>
      <xdr:rowOff>1950425</xdr:rowOff>
    </xdr:to>
    <xdr:pic>
      <xdr:nvPicPr>
        <xdr:cNvPr id="10" name="Picture 9" descr="Chart, radar chart&#10;&#10;Description automatically generated">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75224" y="13923309"/>
          <a:ext cx="2376208" cy="1828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package" Target="../embeddings/Microsoft_Word_Document4.docx"/><Relationship Id="rId18" Type="http://schemas.openxmlformats.org/officeDocument/2006/relationships/image" Target="../media/image7.emf"/><Relationship Id="rId26" Type="http://schemas.openxmlformats.org/officeDocument/2006/relationships/image" Target="../media/image11.emf"/><Relationship Id="rId3" Type="http://schemas.openxmlformats.org/officeDocument/2006/relationships/drawing" Target="../drawings/drawing1.xml"/><Relationship Id="rId21" Type="http://schemas.openxmlformats.org/officeDocument/2006/relationships/package" Target="../embeddings/Microsoft_Word_Document8.docx"/><Relationship Id="rId7" Type="http://schemas.openxmlformats.org/officeDocument/2006/relationships/package" Target="../embeddings/Microsoft_Word_Document1.docx"/><Relationship Id="rId12" Type="http://schemas.openxmlformats.org/officeDocument/2006/relationships/image" Target="../media/image4.emf"/><Relationship Id="rId17" Type="http://schemas.openxmlformats.org/officeDocument/2006/relationships/package" Target="../embeddings/Microsoft_Word_Document6.docx"/><Relationship Id="rId25" Type="http://schemas.openxmlformats.org/officeDocument/2006/relationships/package" Target="../embeddings/Microsoft_Word_Document10.docx"/><Relationship Id="rId2" Type="http://schemas.openxmlformats.org/officeDocument/2006/relationships/printerSettings" Target="../printerSettings/printerSettings1.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s://www.invescomutualfund.com/literature-and-form?tab=Complete" TargetMode="External"/><Relationship Id="rId6" Type="http://schemas.openxmlformats.org/officeDocument/2006/relationships/image" Target="../media/image1.emf"/><Relationship Id="rId11" Type="http://schemas.openxmlformats.org/officeDocument/2006/relationships/package" Target="../embeddings/Microsoft_Word_Document3.docx"/><Relationship Id="rId24" Type="http://schemas.openxmlformats.org/officeDocument/2006/relationships/image" Target="../media/image10.emf"/><Relationship Id="rId5" Type="http://schemas.openxmlformats.org/officeDocument/2006/relationships/package" Target="../embeddings/Microsoft_Word_Document.docx"/><Relationship Id="rId15" Type="http://schemas.openxmlformats.org/officeDocument/2006/relationships/package" Target="../embeddings/Microsoft_Word_Document5.docx"/><Relationship Id="rId23" Type="http://schemas.openxmlformats.org/officeDocument/2006/relationships/package" Target="../embeddings/Microsoft_Word_Document9.docx"/><Relationship Id="rId28" Type="http://schemas.openxmlformats.org/officeDocument/2006/relationships/image" Target="../media/image12.emf"/><Relationship Id="rId10" Type="http://schemas.openxmlformats.org/officeDocument/2006/relationships/image" Target="../media/image3.emf"/><Relationship Id="rId19" Type="http://schemas.openxmlformats.org/officeDocument/2006/relationships/package" Target="../embeddings/Microsoft_Word_Document7.docx"/><Relationship Id="rId4" Type="http://schemas.openxmlformats.org/officeDocument/2006/relationships/vmlDrawing" Target="../drawings/vmlDrawing1.vml"/><Relationship Id="rId9" Type="http://schemas.openxmlformats.org/officeDocument/2006/relationships/package" Target="../embeddings/Microsoft_Word_Document2.docx"/><Relationship Id="rId14" Type="http://schemas.openxmlformats.org/officeDocument/2006/relationships/image" Target="../media/image5.emf"/><Relationship Id="rId22" Type="http://schemas.openxmlformats.org/officeDocument/2006/relationships/image" Target="../media/image9.emf"/><Relationship Id="rId27" Type="http://schemas.openxmlformats.org/officeDocument/2006/relationships/package" Target="../embeddings/Microsoft_Word_Document11.docx"/></Relationships>
</file>

<file path=xl/worksheets/_rels/sheet2.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package" Target="../embeddings/Microsoft_Word_Document16.docx"/><Relationship Id="rId18" Type="http://schemas.openxmlformats.org/officeDocument/2006/relationships/image" Target="../media/image20.emf"/><Relationship Id="rId26" Type="http://schemas.openxmlformats.org/officeDocument/2006/relationships/image" Target="../media/image24.emf"/><Relationship Id="rId3" Type="http://schemas.openxmlformats.org/officeDocument/2006/relationships/drawing" Target="../drawings/drawing2.xml"/><Relationship Id="rId21" Type="http://schemas.openxmlformats.org/officeDocument/2006/relationships/package" Target="../embeddings/Microsoft_Word_Document20.docx"/><Relationship Id="rId7" Type="http://schemas.openxmlformats.org/officeDocument/2006/relationships/package" Target="../embeddings/Microsoft_Word_Document13.docx"/><Relationship Id="rId12" Type="http://schemas.openxmlformats.org/officeDocument/2006/relationships/image" Target="../media/image17.emf"/><Relationship Id="rId17" Type="http://schemas.openxmlformats.org/officeDocument/2006/relationships/package" Target="../embeddings/Microsoft_Word_Document18.docx"/><Relationship Id="rId25" Type="http://schemas.openxmlformats.org/officeDocument/2006/relationships/package" Target="../embeddings/Microsoft_Word_Document22.docx"/><Relationship Id="rId2" Type="http://schemas.openxmlformats.org/officeDocument/2006/relationships/printerSettings" Target="../printerSettings/printerSettings2.bin"/><Relationship Id="rId16" Type="http://schemas.openxmlformats.org/officeDocument/2006/relationships/image" Target="../media/image19.emf"/><Relationship Id="rId20" Type="http://schemas.openxmlformats.org/officeDocument/2006/relationships/image" Target="../media/image21.emf"/><Relationship Id="rId1" Type="http://schemas.openxmlformats.org/officeDocument/2006/relationships/hyperlink" Target="https://www.invescomutualfund.com/literature-and-form?tab=Complete" TargetMode="External"/><Relationship Id="rId6" Type="http://schemas.openxmlformats.org/officeDocument/2006/relationships/image" Target="../media/image14.emf"/><Relationship Id="rId11" Type="http://schemas.openxmlformats.org/officeDocument/2006/relationships/package" Target="../embeddings/Microsoft_Word_Document15.docx"/><Relationship Id="rId24" Type="http://schemas.openxmlformats.org/officeDocument/2006/relationships/image" Target="../media/image23.emf"/><Relationship Id="rId5" Type="http://schemas.openxmlformats.org/officeDocument/2006/relationships/package" Target="../embeddings/Microsoft_Word_Document12.docx"/><Relationship Id="rId15" Type="http://schemas.openxmlformats.org/officeDocument/2006/relationships/package" Target="../embeddings/Microsoft_Word_Document17.docx"/><Relationship Id="rId23" Type="http://schemas.openxmlformats.org/officeDocument/2006/relationships/package" Target="../embeddings/Microsoft_Word_Document21.docx"/><Relationship Id="rId10" Type="http://schemas.openxmlformats.org/officeDocument/2006/relationships/image" Target="../media/image16.emf"/><Relationship Id="rId19" Type="http://schemas.openxmlformats.org/officeDocument/2006/relationships/package" Target="../embeddings/Microsoft_Word_Document19.docx"/><Relationship Id="rId4" Type="http://schemas.openxmlformats.org/officeDocument/2006/relationships/vmlDrawing" Target="../drawings/vmlDrawing2.vml"/><Relationship Id="rId9" Type="http://schemas.openxmlformats.org/officeDocument/2006/relationships/package" Target="../embeddings/Microsoft_Word_Document14.docx"/><Relationship Id="rId14" Type="http://schemas.openxmlformats.org/officeDocument/2006/relationships/image" Target="../media/image18.emf"/><Relationship Id="rId22" Type="http://schemas.openxmlformats.org/officeDocument/2006/relationships/image" Target="../media/image22.emf"/></Relationships>
</file>

<file path=xl/worksheets/_rels/sheet3.xml.rels><?xml version="1.0" encoding="UTF-8" standalone="yes"?>
<Relationships xmlns="http://schemas.openxmlformats.org/package/2006/relationships"><Relationship Id="rId8" Type="http://schemas.openxmlformats.org/officeDocument/2006/relationships/image" Target="../media/image38.emf"/><Relationship Id="rId3" Type="http://schemas.openxmlformats.org/officeDocument/2006/relationships/drawing" Target="../drawings/drawing3.xml"/><Relationship Id="rId7" Type="http://schemas.openxmlformats.org/officeDocument/2006/relationships/package" Target="../embeddings/Microsoft_Word_Document24.docx"/><Relationship Id="rId12" Type="http://schemas.openxmlformats.org/officeDocument/2006/relationships/image" Target="../media/image40.emf"/><Relationship Id="rId2" Type="http://schemas.openxmlformats.org/officeDocument/2006/relationships/printerSettings" Target="../printerSettings/printerSettings3.bin"/><Relationship Id="rId1" Type="http://schemas.openxmlformats.org/officeDocument/2006/relationships/hyperlink" Target="https://www.invescomutualfund.com/literature-and-form?tab=Complete" TargetMode="External"/><Relationship Id="rId6" Type="http://schemas.openxmlformats.org/officeDocument/2006/relationships/image" Target="../media/image37.emf"/><Relationship Id="rId11" Type="http://schemas.openxmlformats.org/officeDocument/2006/relationships/package" Target="../embeddings/Microsoft_Word_Document26.docx"/><Relationship Id="rId5" Type="http://schemas.openxmlformats.org/officeDocument/2006/relationships/package" Target="../embeddings/Microsoft_Word_Document23.docx"/><Relationship Id="rId10" Type="http://schemas.openxmlformats.org/officeDocument/2006/relationships/image" Target="../media/image39.emf"/><Relationship Id="rId4" Type="http://schemas.openxmlformats.org/officeDocument/2006/relationships/vmlDrawing" Target="../drawings/vmlDrawing3.vml"/><Relationship Id="rId9" Type="http://schemas.openxmlformats.org/officeDocument/2006/relationships/package" Target="../embeddings/Microsoft_Word_Document25.docx"/></Relationships>
</file>

<file path=xl/worksheets/_rels/sheet4.xml.rels><?xml version="1.0" encoding="UTF-8" standalone="yes"?>
<Relationships xmlns="http://schemas.openxmlformats.org/package/2006/relationships"><Relationship Id="rId8" Type="http://schemas.openxmlformats.org/officeDocument/2006/relationships/image" Target="../media/image44.emf"/><Relationship Id="rId3" Type="http://schemas.openxmlformats.org/officeDocument/2006/relationships/drawing" Target="../drawings/drawing4.xml"/><Relationship Id="rId7" Type="http://schemas.openxmlformats.org/officeDocument/2006/relationships/package" Target="../embeddings/Microsoft_Word_Document28.docx"/><Relationship Id="rId2" Type="http://schemas.openxmlformats.org/officeDocument/2006/relationships/printerSettings" Target="../printerSettings/printerSettings4.bin"/><Relationship Id="rId1" Type="http://schemas.openxmlformats.org/officeDocument/2006/relationships/hyperlink" Target="https://www.invescomutualfund.com/literature-and-form?tab=Complete" TargetMode="External"/><Relationship Id="rId6" Type="http://schemas.openxmlformats.org/officeDocument/2006/relationships/image" Target="../media/image43.emf"/><Relationship Id="rId5" Type="http://schemas.openxmlformats.org/officeDocument/2006/relationships/package" Target="../embeddings/Microsoft_Word_Document27.docx"/><Relationship Id="rId10" Type="http://schemas.openxmlformats.org/officeDocument/2006/relationships/image" Target="../media/image45.emf"/><Relationship Id="rId4" Type="http://schemas.openxmlformats.org/officeDocument/2006/relationships/vmlDrawing" Target="../drawings/vmlDrawing4.vml"/><Relationship Id="rId9" Type="http://schemas.openxmlformats.org/officeDocument/2006/relationships/package" Target="../embeddings/Microsoft_Word_Document29.docx"/></Relationships>
</file>

<file path=xl/worksheets/_rels/sheet5.x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drawing" Target="../drawings/drawing5.xml"/><Relationship Id="rId7" Type="http://schemas.openxmlformats.org/officeDocument/2006/relationships/oleObject" Target="../embeddings/Microsoft_Word_97_-_2003_Document1.doc"/><Relationship Id="rId2" Type="http://schemas.openxmlformats.org/officeDocument/2006/relationships/printerSettings" Target="../printerSettings/printerSettings5.bin"/><Relationship Id="rId1" Type="http://schemas.openxmlformats.org/officeDocument/2006/relationships/hyperlink" Target="https://www.invescomutualfund.com/literature-and-form?tab=Complete" TargetMode="External"/><Relationship Id="rId6" Type="http://schemas.openxmlformats.org/officeDocument/2006/relationships/image" Target="../media/image47.emf"/><Relationship Id="rId5" Type="http://schemas.openxmlformats.org/officeDocument/2006/relationships/oleObject" Target="../embeddings/Microsoft_Word_97_-_2003_Document.doc"/><Relationship Id="rId10" Type="http://schemas.openxmlformats.org/officeDocument/2006/relationships/image" Target="../media/image49.emf"/><Relationship Id="rId4" Type="http://schemas.openxmlformats.org/officeDocument/2006/relationships/vmlDrawing" Target="../drawings/vmlDrawing5.vml"/><Relationship Id="rId9"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8" Type="http://schemas.openxmlformats.org/officeDocument/2006/relationships/image" Target="../media/image51.emf"/><Relationship Id="rId3" Type="http://schemas.openxmlformats.org/officeDocument/2006/relationships/drawing" Target="../drawings/drawing6.xml"/><Relationship Id="rId7" Type="http://schemas.openxmlformats.org/officeDocument/2006/relationships/package" Target="../embeddings/Microsoft_Word_Document31.docx"/><Relationship Id="rId2" Type="http://schemas.openxmlformats.org/officeDocument/2006/relationships/printerSettings" Target="../printerSettings/printerSettings6.bin"/><Relationship Id="rId1" Type="http://schemas.openxmlformats.org/officeDocument/2006/relationships/hyperlink" Target="https://www.invescomutualfund.com/literature-and-form?tab=Complete" TargetMode="External"/><Relationship Id="rId6" Type="http://schemas.openxmlformats.org/officeDocument/2006/relationships/image" Target="../media/image50.emf"/><Relationship Id="rId5" Type="http://schemas.openxmlformats.org/officeDocument/2006/relationships/package" Target="../embeddings/Microsoft_Word_Document30.docx"/><Relationship Id="rId10" Type="http://schemas.openxmlformats.org/officeDocument/2006/relationships/image" Target="../media/image52.emf"/><Relationship Id="rId4" Type="http://schemas.openxmlformats.org/officeDocument/2006/relationships/vmlDrawing" Target="../drawings/vmlDrawing6.vml"/><Relationship Id="rId9" Type="http://schemas.openxmlformats.org/officeDocument/2006/relationships/package" Target="../embeddings/Microsoft_Word_Document32.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I179"/>
  <sheetViews>
    <sheetView showGridLines="0" tabSelected="1" zoomScale="85" zoomScaleNormal="85" workbookViewId="0">
      <pane xSplit="1" ySplit="4" topLeftCell="B5" activePane="bottomRight" state="frozen"/>
      <selection activeCell="B47" sqref="B47:E47"/>
      <selection pane="topRight" activeCell="B47" sqref="B47:E47"/>
      <selection pane="bottomLeft" activeCell="B47" sqref="B47:E47"/>
      <selection pane="bottomRight" sqref="A1:BH1"/>
    </sheetView>
  </sheetViews>
  <sheetFormatPr defaultColWidth="9.109375" defaultRowHeight="14.4" x14ac:dyDescent="0.3"/>
  <cols>
    <col min="1" max="1" width="45" style="15" customWidth="1"/>
    <col min="2" max="5" width="18.6640625" style="15" customWidth="1"/>
    <col min="6" max="6" width="0.44140625" style="17" customWidth="1"/>
    <col min="7" max="10" width="18.6640625" style="15" customWidth="1"/>
    <col min="11" max="11" width="0.44140625" style="17" customWidth="1"/>
    <col min="12" max="15" width="18.6640625" style="15" customWidth="1"/>
    <col min="16" max="16" width="0.44140625" style="17" customWidth="1"/>
    <col min="17" max="20" width="18.6640625" style="15" customWidth="1"/>
    <col min="21" max="21" width="0.44140625" style="17" customWidth="1"/>
    <col min="22" max="25" width="18.6640625" style="15" customWidth="1"/>
    <col min="26" max="26" width="0.44140625" style="17" customWidth="1"/>
    <col min="27" max="30" width="18.6640625" style="15" customWidth="1"/>
    <col min="31" max="31" width="0.44140625" style="15" customWidth="1"/>
    <col min="32" max="33" width="18.6640625" style="15" customWidth="1"/>
    <col min="34" max="35" width="18.6640625" style="36" customWidth="1"/>
    <col min="36" max="36" width="0.44140625" style="36" customWidth="1"/>
    <col min="37" max="40" width="18.6640625" style="15" customWidth="1"/>
    <col min="41" max="41" width="0.44140625" style="15" customWidth="1"/>
    <col min="42" max="45" width="18.6640625" style="15" customWidth="1"/>
    <col min="46" max="46" width="0.44140625" style="15" customWidth="1"/>
    <col min="47" max="50" width="18.6640625" style="15" customWidth="1"/>
    <col min="51" max="51" width="0.44140625" style="15" customWidth="1"/>
    <col min="52" max="55" width="18.6640625" style="18" customWidth="1"/>
    <col min="56" max="56" width="0.44140625" style="15" customWidth="1"/>
    <col min="57" max="60" width="18.6640625" style="15" customWidth="1"/>
    <col min="61" max="16384" width="9.109375" style="39"/>
  </cols>
  <sheetData>
    <row r="1" spans="1:60" x14ac:dyDescent="0.3">
      <c r="A1" s="332" t="s">
        <v>11</v>
      </c>
      <c r="B1" s="333"/>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4"/>
    </row>
    <row r="2" spans="1:60" s="88" customFormat="1" x14ac:dyDescent="0.3">
      <c r="A2" s="332" t="s">
        <v>44</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4"/>
    </row>
    <row r="3" spans="1:60" s="88" customFormat="1" ht="12.9" customHeight="1" x14ac:dyDescent="0.3">
      <c r="A3" s="335" t="s">
        <v>13</v>
      </c>
      <c r="B3" s="336" t="s">
        <v>45</v>
      </c>
      <c r="C3" s="336"/>
      <c r="D3" s="336"/>
      <c r="E3" s="336"/>
      <c r="F3" s="45"/>
      <c r="G3" s="336" t="s">
        <v>71</v>
      </c>
      <c r="H3" s="336"/>
      <c r="I3" s="336"/>
      <c r="J3" s="336"/>
      <c r="K3" s="45"/>
      <c r="L3" s="336" t="s">
        <v>85</v>
      </c>
      <c r="M3" s="336"/>
      <c r="N3" s="336"/>
      <c r="O3" s="336"/>
      <c r="P3" s="45"/>
      <c r="Q3" s="336" t="s">
        <v>97</v>
      </c>
      <c r="R3" s="336"/>
      <c r="S3" s="336"/>
      <c r="T3" s="336"/>
      <c r="U3" s="45"/>
      <c r="V3" s="336" t="s">
        <v>107</v>
      </c>
      <c r="W3" s="336"/>
      <c r="X3" s="336"/>
      <c r="Y3" s="336"/>
      <c r="Z3" s="45"/>
      <c r="AA3" s="336" t="s">
        <v>116</v>
      </c>
      <c r="AB3" s="336"/>
      <c r="AC3" s="336"/>
      <c r="AD3" s="336"/>
      <c r="AE3" s="45"/>
      <c r="AF3" s="337" t="s">
        <v>133</v>
      </c>
      <c r="AG3" s="337"/>
      <c r="AH3" s="337"/>
      <c r="AI3" s="337"/>
      <c r="AJ3" s="45"/>
      <c r="AK3" s="337" t="s">
        <v>138</v>
      </c>
      <c r="AL3" s="337"/>
      <c r="AM3" s="337"/>
      <c r="AN3" s="337"/>
      <c r="AO3" s="45"/>
      <c r="AP3" s="337" t="s">
        <v>151</v>
      </c>
      <c r="AQ3" s="337"/>
      <c r="AR3" s="337"/>
      <c r="AS3" s="337"/>
      <c r="AT3" s="45"/>
      <c r="AU3" s="337" t="s">
        <v>157</v>
      </c>
      <c r="AV3" s="337"/>
      <c r="AW3" s="337"/>
      <c r="AX3" s="337"/>
      <c r="AY3" s="45"/>
      <c r="AZ3" s="337" t="s">
        <v>168</v>
      </c>
      <c r="BA3" s="337"/>
      <c r="BB3" s="337"/>
      <c r="BC3" s="337"/>
      <c r="BD3" s="45"/>
      <c r="BE3" s="337" t="s">
        <v>183</v>
      </c>
      <c r="BF3" s="337"/>
      <c r="BG3" s="337"/>
      <c r="BH3" s="337"/>
    </row>
    <row r="4" spans="1:60" s="88" customFormat="1" ht="12.9" customHeight="1" x14ac:dyDescent="0.3">
      <c r="A4" s="335"/>
      <c r="B4" s="336"/>
      <c r="C4" s="336"/>
      <c r="D4" s="336"/>
      <c r="E4" s="336"/>
      <c r="F4" s="45"/>
      <c r="G4" s="336"/>
      <c r="H4" s="336"/>
      <c r="I4" s="336"/>
      <c r="J4" s="336"/>
      <c r="K4" s="45"/>
      <c r="L4" s="336"/>
      <c r="M4" s="336"/>
      <c r="N4" s="336"/>
      <c r="O4" s="336"/>
      <c r="P4" s="45"/>
      <c r="Q4" s="336"/>
      <c r="R4" s="336"/>
      <c r="S4" s="336"/>
      <c r="T4" s="336"/>
      <c r="U4" s="45"/>
      <c r="V4" s="336"/>
      <c r="W4" s="336"/>
      <c r="X4" s="336"/>
      <c r="Y4" s="336"/>
      <c r="Z4" s="45"/>
      <c r="AA4" s="336"/>
      <c r="AB4" s="336"/>
      <c r="AC4" s="336"/>
      <c r="AD4" s="336"/>
      <c r="AE4" s="45"/>
      <c r="AF4" s="337"/>
      <c r="AG4" s="337"/>
      <c r="AH4" s="337"/>
      <c r="AI4" s="337"/>
      <c r="AJ4" s="45"/>
      <c r="AK4" s="337"/>
      <c r="AL4" s="337"/>
      <c r="AM4" s="337"/>
      <c r="AN4" s="337"/>
      <c r="AO4" s="45"/>
      <c r="AP4" s="337"/>
      <c r="AQ4" s="337"/>
      <c r="AR4" s="337"/>
      <c r="AS4" s="337"/>
      <c r="AT4" s="45"/>
      <c r="AU4" s="337"/>
      <c r="AV4" s="337"/>
      <c r="AW4" s="337"/>
      <c r="AX4" s="337"/>
      <c r="AY4" s="45"/>
      <c r="AZ4" s="337"/>
      <c r="BA4" s="337"/>
      <c r="BB4" s="337"/>
      <c r="BC4" s="337"/>
      <c r="BD4" s="45"/>
      <c r="BE4" s="337"/>
      <c r="BF4" s="337"/>
      <c r="BG4" s="337"/>
      <c r="BH4" s="337"/>
    </row>
    <row r="5" spans="1:60" s="88" customFormat="1" ht="32.25" customHeight="1" x14ac:dyDescent="0.3">
      <c r="A5" s="13" t="s">
        <v>1</v>
      </c>
      <c r="B5" s="339" t="s">
        <v>46</v>
      </c>
      <c r="C5" s="339"/>
      <c r="D5" s="339"/>
      <c r="E5" s="339"/>
      <c r="F5" s="19"/>
      <c r="G5" s="339" t="s">
        <v>72</v>
      </c>
      <c r="H5" s="339"/>
      <c r="I5" s="339"/>
      <c r="J5" s="339"/>
      <c r="K5" s="19"/>
      <c r="L5" s="339" t="s">
        <v>86</v>
      </c>
      <c r="M5" s="339"/>
      <c r="N5" s="339"/>
      <c r="O5" s="339"/>
      <c r="P5" s="20"/>
      <c r="Q5" s="339" t="s">
        <v>98</v>
      </c>
      <c r="R5" s="339"/>
      <c r="S5" s="339"/>
      <c r="T5" s="339"/>
      <c r="U5" s="20"/>
      <c r="V5" s="339" t="s">
        <v>108</v>
      </c>
      <c r="W5" s="339"/>
      <c r="X5" s="339"/>
      <c r="Y5" s="339"/>
      <c r="Z5" s="20"/>
      <c r="AA5" s="339" t="s">
        <v>117</v>
      </c>
      <c r="AB5" s="339"/>
      <c r="AC5" s="339"/>
      <c r="AD5" s="339"/>
      <c r="AE5" s="20"/>
      <c r="AF5" s="339" t="s">
        <v>134</v>
      </c>
      <c r="AG5" s="339"/>
      <c r="AH5" s="339"/>
      <c r="AI5" s="339"/>
      <c r="AJ5" s="20"/>
      <c r="AK5" s="339" t="s">
        <v>139</v>
      </c>
      <c r="AL5" s="339"/>
      <c r="AM5" s="339"/>
      <c r="AN5" s="339"/>
      <c r="AO5" s="20"/>
      <c r="AP5" s="339" t="s">
        <v>152</v>
      </c>
      <c r="AQ5" s="339"/>
      <c r="AR5" s="339"/>
      <c r="AS5" s="339"/>
      <c r="AT5" s="20"/>
      <c r="AU5" s="339" t="s">
        <v>158</v>
      </c>
      <c r="AV5" s="339"/>
      <c r="AW5" s="339"/>
      <c r="AX5" s="339"/>
      <c r="AY5" s="16"/>
      <c r="AZ5" s="339" t="s">
        <v>169</v>
      </c>
      <c r="BA5" s="339"/>
      <c r="BB5" s="339"/>
      <c r="BC5" s="339"/>
      <c r="BD5" s="16"/>
      <c r="BE5" s="339" t="s">
        <v>184</v>
      </c>
      <c r="BF5" s="339"/>
      <c r="BG5" s="339"/>
      <c r="BH5" s="339"/>
    </row>
    <row r="6" spans="1:60" s="88" customFormat="1" x14ac:dyDescent="0.3">
      <c r="A6" s="3" t="s">
        <v>15</v>
      </c>
      <c r="B6" s="331"/>
      <c r="C6" s="331"/>
      <c r="D6" s="331"/>
      <c r="E6" s="331"/>
      <c r="F6" s="45"/>
      <c r="G6" s="331"/>
      <c r="H6" s="331"/>
      <c r="I6" s="331"/>
      <c r="J6" s="331"/>
      <c r="K6" s="45"/>
      <c r="L6" s="331"/>
      <c r="M6" s="331"/>
      <c r="N6" s="331"/>
      <c r="O6" s="331"/>
      <c r="P6" s="45"/>
      <c r="Q6" s="331"/>
      <c r="R6" s="331"/>
      <c r="S6" s="331"/>
      <c r="T6" s="331"/>
      <c r="U6" s="45"/>
      <c r="V6" s="331"/>
      <c r="W6" s="331"/>
      <c r="X6" s="331"/>
      <c r="Y6" s="331"/>
      <c r="Z6" s="45"/>
      <c r="AA6" s="331"/>
      <c r="AB6" s="331"/>
      <c r="AC6" s="331"/>
      <c r="AD6" s="331"/>
      <c r="AE6" s="45"/>
      <c r="AF6" s="331"/>
      <c r="AG6" s="331"/>
      <c r="AH6" s="331"/>
      <c r="AI6" s="331"/>
      <c r="AJ6" s="45"/>
      <c r="AK6" s="331"/>
      <c r="AL6" s="331"/>
      <c r="AM6" s="331"/>
      <c r="AN6" s="331"/>
      <c r="AO6" s="45"/>
      <c r="AP6" s="331"/>
      <c r="AQ6" s="331"/>
      <c r="AR6" s="331"/>
      <c r="AS6" s="331"/>
      <c r="AT6" s="45"/>
      <c r="AU6" s="331"/>
      <c r="AV6" s="331"/>
      <c r="AW6" s="331"/>
      <c r="AX6" s="331"/>
      <c r="AY6" s="45"/>
      <c r="AZ6" s="340"/>
      <c r="BA6" s="340"/>
      <c r="BB6" s="340"/>
      <c r="BC6" s="340"/>
      <c r="BD6" s="45"/>
      <c r="BE6" s="331"/>
      <c r="BF6" s="331"/>
      <c r="BG6" s="331"/>
      <c r="BH6" s="331"/>
    </row>
    <row r="7" spans="1:60" s="89" customFormat="1" x14ac:dyDescent="0.3">
      <c r="A7" s="71" t="s">
        <v>9</v>
      </c>
      <c r="B7" s="338">
        <v>39183</v>
      </c>
      <c r="C7" s="338"/>
      <c r="D7" s="338"/>
      <c r="E7" s="338"/>
      <c r="F7" s="21"/>
      <c r="G7" s="338">
        <v>44275</v>
      </c>
      <c r="H7" s="338"/>
      <c r="I7" s="338"/>
      <c r="J7" s="338"/>
      <c r="K7" s="21"/>
      <c r="L7" s="338">
        <v>39643</v>
      </c>
      <c r="M7" s="338"/>
      <c r="N7" s="338"/>
      <c r="O7" s="338"/>
      <c r="P7" s="21"/>
      <c r="Q7" s="338">
        <v>44103</v>
      </c>
      <c r="R7" s="338"/>
      <c r="S7" s="338"/>
      <c r="T7" s="338"/>
      <c r="U7" s="21"/>
      <c r="V7" s="338">
        <v>39303</v>
      </c>
      <c r="W7" s="338"/>
      <c r="X7" s="338"/>
      <c r="Y7" s="338"/>
      <c r="Z7" s="21"/>
      <c r="AA7" s="338">
        <v>39407</v>
      </c>
      <c r="AB7" s="338"/>
      <c r="AC7" s="338"/>
      <c r="AD7" s="338"/>
      <c r="AE7" s="21"/>
      <c r="AF7" s="338">
        <v>40046</v>
      </c>
      <c r="AG7" s="338"/>
      <c r="AH7" s="338"/>
      <c r="AI7" s="338"/>
      <c r="AJ7" s="21"/>
      <c r="AK7" s="338">
        <v>39191</v>
      </c>
      <c r="AL7" s="338"/>
      <c r="AM7" s="338"/>
      <c r="AN7" s="338"/>
      <c r="AO7" s="21"/>
      <c r="AP7" s="338">
        <v>39524</v>
      </c>
      <c r="AQ7" s="338"/>
      <c r="AR7" s="338"/>
      <c r="AS7" s="338"/>
      <c r="AT7" s="21"/>
      <c r="AU7" s="342">
        <v>40135</v>
      </c>
      <c r="AV7" s="343"/>
      <c r="AW7" s="343"/>
      <c r="AX7" s="344"/>
      <c r="AY7" s="21"/>
      <c r="AZ7" s="342">
        <v>43403</v>
      </c>
      <c r="BA7" s="343"/>
      <c r="BB7" s="343"/>
      <c r="BC7" s="344"/>
      <c r="BD7" s="21"/>
      <c r="BE7" s="342">
        <v>39080</v>
      </c>
      <c r="BF7" s="343"/>
      <c r="BG7" s="343"/>
      <c r="BH7" s="344"/>
    </row>
    <row r="8" spans="1:60" s="89" customFormat="1" x14ac:dyDescent="0.3">
      <c r="A8" s="71" t="s">
        <v>0</v>
      </c>
      <c r="B8" s="338">
        <v>41275</v>
      </c>
      <c r="C8" s="338"/>
      <c r="D8" s="338"/>
      <c r="E8" s="338"/>
      <c r="F8" s="21"/>
      <c r="G8" s="338">
        <v>44275</v>
      </c>
      <c r="H8" s="338"/>
      <c r="I8" s="338"/>
      <c r="J8" s="338"/>
      <c r="K8" s="21"/>
      <c r="L8" s="338">
        <v>41275</v>
      </c>
      <c r="M8" s="338"/>
      <c r="N8" s="338"/>
      <c r="O8" s="338"/>
      <c r="P8" s="21"/>
      <c r="Q8" s="338">
        <v>44103</v>
      </c>
      <c r="R8" s="338"/>
      <c r="S8" s="338"/>
      <c r="T8" s="338"/>
      <c r="U8" s="21"/>
      <c r="V8" s="338">
        <v>41275</v>
      </c>
      <c r="W8" s="338"/>
      <c r="X8" s="338"/>
      <c r="Y8" s="338"/>
      <c r="Z8" s="21"/>
      <c r="AA8" s="338">
        <v>41275</v>
      </c>
      <c r="AB8" s="338"/>
      <c r="AC8" s="338"/>
      <c r="AD8" s="338"/>
      <c r="AE8" s="21"/>
      <c r="AF8" s="338">
        <v>41275</v>
      </c>
      <c r="AG8" s="338"/>
      <c r="AH8" s="338"/>
      <c r="AI8" s="338"/>
      <c r="AJ8" s="21"/>
      <c r="AK8" s="338">
        <v>41275</v>
      </c>
      <c r="AL8" s="338"/>
      <c r="AM8" s="338"/>
      <c r="AN8" s="338"/>
      <c r="AO8" s="21"/>
      <c r="AP8" s="338">
        <v>41275</v>
      </c>
      <c r="AQ8" s="338"/>
      <c r="AR8" s="338"/>
      <c r="AS8" s="338"/>
      <c r="AT8" s="21"/>
      <c r="AU8" s="342">
        <v>41275</v>
      </c>
      <c r="AV8" s="343"/>
      <c r="AW8" s="343"/>
      <c r="AX8" s="344"/>
      <c r="AY8" s="21"/>
      <c r="AZ8" s="342">
        <v>43403</v>
      </c>
      <c r="BA8" s="343"/>
      <c r="BB8" s="343"/>
      <c r="BC8" s="344"/>
      <c r="BD8" s="21"/>
      <c r="BE8" s="342">
        <v>41275</v>
      </c>
      <c r="BF8" s="343"/>
      <c r="BG8" s="343"/>
      <c r="BH8" s="344"/>
    </row>
    <row r="9" spans="1:60" s="89" customFormat="1" x14ac:dyDescent="0.3">
      <c r="A9" s="72" t="s">
        <v>14</v>
      </c>
      <c r="B9" s="338" t="s">
        <v>47</v>
      </c>
      <c r="C9" s="338"/>
      <c r="D9" s="338"/>
      <c r="E9" s="338"/>
      <c r="F9" s="21"/>
      <c r="G9" s="338" t="s">
        <v>47</v>
      </c>
      <c r="H9" s="338"/>
      <c r="I9" s="338"/>
      <c r="J9" s="338"/>
      <c r="K9" s="21"/>
      <c r="L9" s="338" t="s">
        <v>47</v>
      </c>
      <c r="M9" s="338"/>
      <c r="N9" s="338"/>
      <c r="O9" s="338"/>
      <c r="P9" s="21"/>
      <c r="Q9" s="338" t="s">
        <v>47</v>
      </c>
      <c r="R9" s="338"/>
      <c r="S9" s="338"/>
      <c r="T9" s="338"/>
      <c r="U9" s="21"/>
      <c r="V9" s="338" t="s">
        <v>47</v>
      </c>
      <c r="W9" s="338"/>
      <c r="X9" s="338"/>
      <c r="Y9" s="338"/>
      <c r="Z9" s="21"/>
      <c r="AA9" s="338" t="s">
        <v>47</v>
      </c>
      <c r="AB9" s="338"/>
      <c r="AC9" s="338"/>
      <c r="AD9" s="338"/>
      <c r="AE9" s="21"/>
      <c r="AF9" s="338" t="s">
        <v>47</v>
      </c>
      <c r="AG9" s="338"/>
      <c r="AH9" s="338"/>
      <c r="AI9" s="338"/>
      <c r="AJ9" s="21"/>
      <c r="AK9" s="338" t="s">
        <v>47</v>
      </c>
      <c r="AL9" s="338"/>
      <c r="AM9" s="338"/>
      <c r="AN9" s="338"/>
      <c r="AO9" s="21"/>
      <c r="AP9" s="338" t="s">
        <v>47</v>
      </c>
      <c r="AQ9" s="338"/>
      <c r="AR9" s="338"/>
      <c r="AS9" s="338"/>
      <c r="AT9" s="21"/>
      <c r="AU9" s="338" t="s">
        <v>47</v>
      </c>
      <c r="AV9" s="338"/>
      <c r="AW9" s="338"/>
      <c r="AX9" s="338"/>
      <c r="AY9" s="21"/>
      <c r="AZ9" s="338" t="s">
        <v>47</v>
      </c>
      <c r="BA9" s="338"/>
      <c r="BB9" s="338"/>
      <c r="BC9" s="338"/>
      <c r="BD9" s="21"/>
      <c r="BE9" s="338" t="s">
        <v>47</v>
      </c>
      <c r="BF9" s="338"/>
      <c r="BG9" s="338"/>
      <c r="BH9" s="338"/>
    </row>
    <row r="10" spans="1:60" s="88" customFormat="1" ht="89.25" customHeight="1" x14ac:dyDescent="0.3">
      <c r="A10" s="11" t="s">
        <v>26</v>
      </c>
      <c r="B10" s="341" t="s">
        <v>48</v>
      </c>
      <c r="C10" s="341"/>
      <c r="D10" s="341"/>
      <c r="E10" s="341"/>
      <c r="F10" s="95"/>
      <c r="G10" s="341" t="s">
        <v>463</v>
      </c>
      <c r="H10" s="341"/>
      <c r="I10" s="341"/>
      <c r="J10" s="341"/>
      <c r="K10" s="95"/>
      <c r="L10" s="341" t="s">
        <v>87</v>
      </c>
      <c r="M10" s="341"/>
      <c r="N10" s="341"/>
      <c r="O10" s="341"/>
      <c r="P10" s="95"/>
      <c r="Q10" s="341" t="s">
        <v>464</v>
      </c>
      <c r="R10" s="341"/>
      <c r="S10" s="341"/>
      <c r="T10" s="341"/>
      <c r="U10" s="95"/>
      <c r="V10" s="341" t="s">
        <v>109</v>
      </c>
      <c r="W10" s="341"/>
      <c r="X10" s="341"/>
      <c r="Y10" s="341"/>
      <c r="Z10" s="95"/>
      <c r="AA10" s="341" t="s">
        <v>118</v>
      </c>
      <c r="AB10" s="341"/>
      <c r="AC10" s="341"/>
      <c r="AD10" s="341"/>
      <c r="AE10" s="95"/>
      <c r="AF10" s="341" t="s">
        <v>135</v>
      </c>
      <c r="AG10" s="341"/>
      <c r="AH10" s="341"/>
      <c r="AI10" s="341"/>
      <c r="AJ10" s="95"/>
      <c r="AK10" s="341" t="s">
        <v>140</v>
      </c>
      <c r="AL10" s="341"/>
      <c r="AM10" s="341"/>
      <c r="AN10" s="341"/>
      <c r="AO10" s="95"/>
      <c r="AP10" s="341" t="s">
        <v>153</v>
      </c>
      <c r="AQ10" s="341"/>
      <c r="AR10" s="341"/>
      <c r="AS10" s="341"/>
      <c r="AT10" s="95"/>
      <c r="AU10" s="341" t="s">
        <v>159</v>
      </c>
      <c r="AV10" s="341"/>
      <c r="AW10" s="341"/>
      <c r="AX10" s="341"/>
      <c r="AY10" s="96"/>
      <c r="AZ10" s="341" t="s">
        <v>465</v>
      </c>
      <c r="BA10" s="341"/>
      <c r="BB10" s="341"/>
      <c r="BC10" s="341"/>
      <c r="BD10" s="96"/>
      <c r="BE10" s="341" t="s">
        <v>185</v>
      </c>
      <c r="BF10" s="341"/>
      <c r="BG10" s="341"/>
      <c r="BH10" s="341"/>
    </row>
    <row r="11" spans="1:60" s="88" customFormat="1" ht="14.4" customHeight="1" x14ac:dyDescent="0.3">
      <c r="A11" s="3" t="s">
        <v>2</v>
      </c>
      <c r="B11" s="345" t="s">
        <v>49</v>
      </c>
      <c r="C11" s="345"/>
      <c r="D11" s="345"/>
      <c r="E11" s="345"/>
      <c r="F11" s="19"/>
      <c r="G11" s="345" t="s">
        <v>73</v>
      </c>
      <c r="H11" s="345"/>
      <c r="I11" s="345"/>
      <c r="J11" s="345"/>
      <c r="K11" s="19"/>
      <c r="L11" s="345" t="s">
        <v>88</v>
      </c>
      <c r="M11" s="345"/>
      <c r="N11" s="345"/>
      <c r="O11" s="345"/>
      <c r="P11" s="19"/>
      <c r="Q11" s="345" t="s">
        <v>49</v>
      </c>
      <c r="R11" s="345"/>
      <c r="S11" s="345"/>
      <c r="T11" s="345"/>
      <c r="U11" s="19"/>
      <c r="V11" s="346" t="s">
        <v>110</v>
      </c>
      <c r="W11" s="346"/>
      <c r="X11" s="346"/>
      <c r="Y11" s="346"/>
      <c r="Z11" s="19"/>
      <c r="AA11" s="345" t="s">
        <v>468</v>
      </c>
      <c r="AB11" s="345"/>
      <c r="AC11" s="345"/>
      <c r="AD11" s="345"/>
      <c r="AE11" s="19"/>
      <c r="AF11" s="345" t="s">
        <v>136</v>
      </c>
      <c r="AG11" s="345"/>
      <c r="AH11" s="345"/>
      <c r="AI11" s="345"/>
      <c r="AJ11" s="19"/>
      <c r="AK11" s="345" t="s">
        <v>469</v>
      </c>
      <c r="AL11" s="345"/>
      <c r="AM11" s="345"/>
      <c r="AN11" s="345"/>
      <c r="AO11" s="19"/>
      <c r="AP11" s="345" t="s">
        <v>154</v>
      </c>
      <c r="AQ11" s="345"/>
      <c r="AR11" s="345"/>
      <c r="AS11" s="345"/>
      <c r="AT11" s="19"/>
      <c r="AU11" s="345" t="s">
        <v>160</v>
      </c>
      <c r="AV11" s="345"/>
      <c r="AW11" s="345"/>
      <c r="AX11" s="345"/>
      <c r="AY11" s="16"/>
      <c r="AZ11" s="345" t="s">
        <v>170</v>
      </c>
      <c r="BA11" s="345"/>
      <c r="BB11" s="345"/>
      <c r="BC11" s="345"/>
      <c r="BD11" s="16"/>
      <c r="BE11" s="345" t="s">
        <v>49</v>
      </c>
      <c r="BF11" s="345"/>
      <c r="BG11" s="345"/>
      <c r="BH11" s="345"/>
    </row>
    <row r="12" spans="1:60" s="88" customFormat="1" ht="14.4" customHeight="1" x14ac:dyDescent="0.3">
      <c r="A12" s="335" t="s">
        <v>3</v>
      </c>
      <c r="B12" s="347" t="s">
        <v>51</v>
      </c>
      <c r="C12" s="348"/>
      <c r="D12" s="347" t="s">
        <v>53</v>
      </c>
      <c r="E12" s="348"/>
      <c r="F12" s="45"/>
      <c r="G12" s="347" t="s">
        <v>74</v>
      </c>
      <c r="H12" s="348"/>
      <c r="I12" s="347" t="s">
        <v>51</v>
      </c>
      <c r="J12" s="348"/>
      <c r="K12" s="45"/>
      <c r="L12" s="347" t="s">
        <v>53</v>
      </c>
      <c r="M12" s="348"/>
      <c r="N12" s="351" t="s">
        <v>90</v>
      </c>
      <c r="O12" s="352"/>
      <c r="P12" s="50"/>
      <c r="Q12" s="351" t="s">
        <v>99</v>
      </c>
      <c r="R12" s="352"/>
      <c r="S12" s="351" t="s">
        <v>51</v>
      </c>
      <c r="T12" s="352"/>
      <c r="U12" s="50"/>
      <c r="V12" s="351" t="s">
        <v>51</v>
      </c>
      <c r="W12" s="352"/>
      <c r="X12" s="351" t="s">
        <v>111</v>
      </c>
      <c r="Y12" s="352"/>
      <c r="Z12" s="50"/>
      <c r="AA12" s="347" t="s">
        <v>120</v>
      </c>
      <c r="AB12" s="348"/>
      <c r="AC12" s="351" t="s">
        <v>74</v>
      </c>
      <c r="AD12" s="352"/>
      <c r="AE12" s="50"/>
      <c r="AF12" s="351" t="s">
        <v>99</v>
      </c>
      <c r="AG12" s="352"/>
      <c r="AH12" s="351" t="s">
        <v>74</v>
      </c>
      <c r="AI12" s="352"/>
      <c r="AJ12" s="50"/>
      <c r="AK12" s="351" t="s">
        <v>120</v>
      </c>
      <c r="AL12" s="352"/>
      <c r="AM12" s="351" t="s">
        <v>111</v>
      </c>
      <c r="AN12" s="352"/>
      <c r="AO12" s="50"/>
      <c r="AP12" s="351" t="s">
        <v>111</v>
      </c>
      <c r="AQ12" s="352"/>
      <c r="AR12" s="351" t="s">
        <v>74</v>
      </c>
      <c r="AS12" s="352"/>
      <c r="AT12" s="50"/>
      <c r="AU12" s="347" t="s">
        <v>99</v>
      </c>
      <c r="AV12" s="348"/>
      <c r="AW12" s="347" t="s">
        <v>53</v>
      </c>
      <c r="AX12" s="348"/>
      <c r="AY12" s="45"/>
      <c r="AZ12" s="347" t="s">
        <v>111</v>
      </c>
      <c r="BA12" s="348"/>
      <c r="BB12" s="347" t="s">
        <v>51</v>
      </c>
      <c r="BC12" s="348"/>
      <c r="BD12" s="45"/>
      <c r="BE12" s="347" t="s">
        <v>53</v>
      </c>
      <c r="BF12" s="348"/>
      <c r="BG12" s="347" t="s">
        <v>74</v>
      </c>
      <c r="BH12" s="348"/>
    </row>
    <row r="13" spans="1:60" s="88" customFormat="1" ht="12.9" customHeight="1" x14ac:dyDescent="0.3">
      <c r="A13" s="335"/>
      <c r="B13" s="349"/>
      <c r="C13" s="350"/>
      <c r="D13" s="349"/>
      <c r="E13" s="350"/>
      <c r="F13" s="45"/>
      <c r="G13" s="349"/>
      <c r="H13" s="350"/>
      <c r="I13" s="349"/>
      <c r="J13" s="350"/>
      <c r="K13" s="45"/>
      <c r="L13" s="349"/>
      <c r="M13" s="350"/>
      <c r="N13" s="353"/>
      <c r="O13" s="354"/>
      <c r="P13" s="50"/>
      <c r="Q13" s="353"/>
      <c r="R13" s="354"/>
      <c r="S13" s="353"/>
      <c r="T13" s="354"/>
      <c r="U13" s="50"/>
      <c r="V13" s="353"/>
      <c r="W13" s="354"/>
      <c r="X13" s="353"/>
      <c r="Y13" s="354"/>
      <c r="Z13" s="50"/>
      <c r="AA13" s="349"/>
      <c r="AB13" s="350"/>
      <c r="AC13" s="353"/>
      <c r="AD13" s="354"/>
      <c r="AE13" s="50"/>
      <c r="AF13" s="353"/>
      <c r="AG13" s="354"/>
      <c r="AH13" s="353"/>
      <c r="AI13" s="354"/>
      <c r="AJ13" s="50"/>
      <c r="AK13" s="353"/>
      <c r="AL13" s="354"/>
      <c r="AM13" s="353"/>
      <c r="AN13" s="354"/>
      <c r="AO13" s="50"/>
      <c r="AP13" s="353"/>
      <c r="AQ13" s="354"/>
      <c r="AR13" s="353"/>
      <c r="AS13" s="354"/>
      <c r="AT13" s="50"/>
      <c r="AU13" s="349"/>
      <c r="AV13" s="350"/>
      <c r="AW13" s="349"/>
      <c r="AX13" s="350"/>
      <c r="AY13" s="45"/>
      <c r="AZ13" s="349"/>
      <c r="BA13" s="350"/>
      <c r="BB13" s="349"/>
      <c r="BC13" s="350"/>
      <c r="BD13" s="45"/>
      <c r="BE13" s="349"/>
      <c r="BF13" s="350"/>
      <c r="BG13" s="349"/>
      <c r="BH13" s="350"/>
    </row>
    <row r="14" spans="1:60" s="88" customFormat="1" x14ac:dyDescent="0.3">
      <c r="A14" s="4" t="s">
        <v>27</v>
      </c>
      <c r="B14" s="394" t="s">
        <v>52</v>
      </c>
      <c r="C14" s="380"/>
      <c r="D14" s="394" t="s">
        <v>54</v>
      </c>
      <c r="E14" s="380"/>
      <c r="F14" s="45"/>
      <c r="G14" s="394" t="s">
        <v>75</v>
      </c>
      <c r="H14" s="380"/>
      <c r="I14" s="394" t="s">
        <v>75</v>
      </c>
      <c r="J14" s="380"/>
      <c r="K14" s="45"/>
      <c r="L14" s="394" t="s">
        <v>89</v>
      </c>
      <c r="M14" s="380"/>
      <c r="N14" s="394" t="s">
        <v>54</v>
      </c>
      <c r="O14" s="380"/>
      <c r="P14" s="45"/>
      <c r="Q14" s="394" t="s">
        <v>100</v>
      </c>
      <c r="R14" s="380"/>
      <c r="S14" s="394" t="s">
        <v>101</v>
      </c>
      <c r="T14" s="380"/>
      <c r="U14" s="45"/>
      <c r="V14" s="394" t="s">
        <v>52</v>
      </c>
      <c r="W14" s="380"/>
      <c r="X14" s="394" t="s">
        <v>54</v>
      </c>
      <c r="Y14" s="380"/>
      <c r="Z14" s="45"/>
      <c r="AA14" s="394" t="s">
        <v>89</v>
      </c>
      <c r="AB14" s="380"/>
      <c r="AC14" s="394" t="s">
        <v>121</v>
      </c>
      <c r="AD14" s="380"/>
      <c r="AE14" s="45"/>
      <c r="AF14" s="394" t="s">
        <v>137</v>
      </c>
      <c r="AG14" s="380"/>
      <c r="AH14" s="394" t="s">
        <v>121</v>
      </c>
      <c r="AI14" s="380"/>
      <c r="AJ14" s="45"/>
      <c r="AK14" s="394" t="s">
        <v>141</v>
      </c>
      <c r="AL14" s="380"/>
      <c r="AM14" s="394" t="s">
        <v>137</v>
      </c>
      <c r="AN14" s="380"/>
      <c r="AO14" s="45"/>
      <c r="AP14" s="394" t="s">
        <v>137</v>
      </c>
      <c r="AQ14" s="380"/>
      <c r="AR14" s="394" t="s">
        <v>121</v>
      </c>
      <c r="AS14" s="380"/>
      <c r="AT14" s="45"/>
      <c r="AU14" s="395" t="s">
        <v>89</v>
      </c>
      <c r="AV14" s="396"/>
      <c r="AW14" s="395" t="s">
        <v>54</v>
      </c>
      <c r="AX14" s="396"/>
      <c r="AY14" s="45"/>
      <c r="AZ14" s="395" t="s">
        <v>171</v>
      </c>
      <c r="BA14" s="396"/>
      <c r="BB14" s="395" t="s">
        <v>172</v>
      </c>
      <c r="BC14" s="396"/>
      <c r="BD14" s="45"/>
      <c r="BE14" s="395" t="s">
        <v>137</v>
      </c>
      <c r="BF14" s="396"/>
      <c r="BG14" s="395" t="s">
        <v>121</v>
      </c>
      <c r="BH14" s="396"/>
    </row>
    <row r="15" spans="1:60" s="88" customFormat="1" ht="15" customHeight="1" x14ac:dyDescent="0.3">
      <c r="A15" s="356" t="s">
        <v>29</v>
      </c>
      <c r="B15" s="355" t="s">
        <v>20</v>
      </c>
      <c r="C15" s="355"/>
      <c r="D15" s="355"/>
      <c r="E15" s="355"/>
      <c r="F15" s="22"/>
      <c r="G15" s="357" t="s">
        <v>191</v>
      </c>
      <c r="H15" s="357"/>
      <c r="I15" s="357"/>
      <c r="J15" s="357"/>
      <c r="K15" s="22"/>
      <c r="L15" s="355" t="s">
        <v>20</v>
      </c>
      <c r="M15" s="355"/>
      <c r="N15" s="355"/>
      <c r="O15" s="355"/>
      <c r="P15" s="22"/>
      <c r="Q15" s="355" t="s">
        <v>20</v>
      </c>
      <c r="R15" s="355"/>
      <c r="S15" s="355"/>
      <c r="T15" s="355"/>
      <c r="U15" s="22"/>
      <c r="V15" s="355" t="s">
        <v>20</v>
      </c>
      <c r="W15" s="355"/>
      <c r="X15" s="355"/>
      <c r="Y15" s="355"/>
      <c r="Z15" s="22"/>
      <c r="AA15" s="355" t="s">
        <v>20</v>
      </c>
      <c r="AB15" s="355"/>
      <c r="AC15" s="355"/>
      <c r="AD15" s="355"/>
      <c r="AE15" s="22"/>
      <c r="AF15" s="355" t="s">
        <v>20</v>
      </c>
      <c r="AG15" s="355"/>
      <c r="AH15" s="355"/>
      <c r="AI15" s="355"/>
      <c r="AJ15" s="23"/>
      <c r="AK15" s="355" t="s">
        <v>20</v>
      </c>
      <c r="AL15" s="355"/>
      <c r="AM15" s="355"/>
      <c r="AN15" s="355"/>
      <c r="AO15" s="23"/>
      <c r="AP15" s="355" t="s">
        <v>20</v>
      </c>
      <c r="AQ15" s="355"/>
      <c r="AR15" s="355"/>
      <c r="AS15" s="355"/>
      <c r="AT15" s="23"/>
      <c r="AU15" s="355" t="s">
        <v>20</v>
      </c>
      <c r="AV15" s="355"/>
      <c r="AW15" s="355"/>
      <c r="AX15" s="355"/>
      <c r="AY15" s="24"/>
      <c r="AZ15" s="355" t="s">
        <v>34</v>
      </c>
      <c r="BA15" s="355"/>
      <c r="BB15" s="355"/>
      <c r="BC15" s="355"/>
      <c r="BD15" s="24"/>
      <c r="BE15" s="355" t="s">
        <v>35</v>
      </c>
      <c r="BF15" s="355"/>
      <c r="BG15" s="355"/>
      <c r="BH15" s="355"/>
    </row>
    <row r="16" spans="1:60" s="88" customFormat="1" ht="41.1" customHeight="1" x14ac:dyDescent="0.3">
      <c r="A16" s="356"/>
      <c r="B16" s="32" t="s">
        <v>9</v>
      </c>
      <c r="C16" s="38" t="s">
        <v>0</v>
      </c>
      <c r="D16" s="25" t="s">
        <v>49</v>
      </c>
      <c r="E16" s="94" t="s">
        <v>50</v>
      </c>
      <c r="F16" s="22"/>
      <c r="G16" s="120" t="s">
        <v>9</v>
      </c>
      <c r="H16" s="121" t="s">
        <v>0</v>
      </c>
      <c r="I16" s="122" t="s">
        <v>73</v>
      </c>
      <c r="J16" s="122" t="s">
        <v>189</v>
      </c>
      <c r="K16" s="22"/>
      <c r="L16" s="32" t="s">
        <v>9</v>
      </c>
      <c r="M16" s="38" t="s">
        <v>0</v>
      </c>
      <c r="N16" s="32" t="s">
        <v>88</v>
      </c>
      <c r="O16" s="94" t="s">
        <v>50</v>
      </c>
      <c r="P16" s="22"/>
      <c r="Q16" s="32" t="s">
        <v>9</v>
      </c>
      <c r="R16" s="38" t="s">
        <v>0</v>
      </c>
      <c r="S16" s="25" t="s">
        <v>49</v>
      </c>
      <c r="T16" s="94" t="s">
        <v>50</v>
      </c>
      <c r="U16" s="22"/>
      <c r="V16" s="32" t="s">
        <v>9</v>
      </c>
      <c r="W16" s="38" t="s">
        <v>0</v>
      </c>
      <c r="X16" s="26" t="s">
        <v>110</v>
      </c>
      <c r="Y16" s="94" t="s">
        <v>50</v>
      </c>
      <c r="Z16" s="22"/>
      <c r="AA16" s="32" t="s">
        <v>9</v>
      </c>
      <c r="AB16" s="38" t="s">
        <v>0</v>
      </c>
      <c r="AC16" s="25" t="s">
        <v>119</v>
      </c>
      <c r="AD16" s="94" t="s">
        <v>50</v>
      </c>
      <c r="AE16" s="27"/>
      <c r="AF16" s="25" t="s">
        <v>9</v>
      </c>
      <c r="AG16" s="38" t="s">
        <v>0</v>
      </c>
      <c r="AH16" s="25" t="s">
        <v>136</v>
      </c>
      <c r="AI16" s="94" t="s">
        <v>50</v>
      </c>
      <c r="AJ16" s="23"/>
      <c r="AK16" s="25" t="s">
        <v>9</v>
      </c>
      <c r="AL16" s="38" t="s">
        <v>0</v>
      </c>
      <c r="AM16" s="25" t="s">
        <v>190</v>
      </c>
      <c r="AN16" s="94" t="s">
        <v>50</v>
      </c>
      <c r="AO16" s="23"/>
      <c r="AP16" s="129" t="s">
        <v>9</v>
      </c>
      <c r="AQ16" s="121" t="s">
        <v>0</v>
      </c>
      <c r="AR16" s="129" t="s">
        <v>154</v>
      </c>
      <c r="AS16" s="122" t="s">
        <v>189</v>
      </c>
      <c r="AT16" s="23"/>
      <c r="AU16" s="32" t="s">
        <v>9</v>
      </c>
      <c r="AV16" s="38" t="s">
        <v>0</v>
      </c>
      <c r="AW16" s="25" t="s">
        <v>160</v>
      </c>
      <c r="AX16" s="94" t="s">
        <v>50</v>
      </c>
      <c r="AY16" s="24"/>
      <c r="AZ16" s="32" t="s">
        <v>9</v>
      </c>
      <c r="BA16" s="38" t="s">
        <v>0</v>
      </c>
      <c r="BB16" s="25" t="s">
        <v>170</v>
      </c>
      <c r="BC16" s="94" t="s">
        <v>50</v>
      </c>
      <c r="BD16" s="24"/>
      <c r="BE16" s="32" t="s">
        <v>9</v>
      </c>
      <c r="BF16" s="93" t="s">
        <v>0</v>
      </c>
      <c r="BG16" s="25" t="s">
        <v>49</v>
      </c>
      <c r="BH16" s="94" t="s">
        <v>50</v>
      </c>
    </row>
    <row r="17" spans="1:61" s="133" customFormat="1" ht="15" customHeight="1" x14ac:dyDescent="0.3">
      <c r="A17" s="113" t="s">
        <v>33</v>
      </c>
      <c r="B17" s="109" t="s">
        <v>188</v>
      </c>
      <c r="C17" s="109" t="s">
        <v>188</v>
      </c>
      <c r="D17" s="109" t="s">
        <v>188</v>
      </c>
      <c r="E17" s="109" t="s">
        <v>188</v>
      </c>
      <c r="F17" s="131"/>
      <c r="G17" s="119">
        <v>0.20874458075823266</v>
      </c>
      <c r="H17" s="119">
        <v>0.23093322329963567</v>
      </c>
      <c r="I17" s="119">
        <v>0.17989418488909323</v>
      </c>
      <c r="J17" s="119">
        <v>0.20472704611133458</v>
      </c>
      <c r="K17" s="131"/>
      <c r="L17" s="109" t="s">
        <v>188</v>
      </c>
      <c r="M17" s="109" t="s">
        <v>188</v>
      </c>
      <c r="N17" s="109" t="s">
        <v>188</v>
      </c>
      <c r="O17" s="109" t="s">
        <v>188</v>
      </c>
      <c r="P17" s="131"/>
      <c r="Q17" s="109" t="s">
        <v>188</v>
      </c>
      <c r="R17" s="109" t="s">
        <v>188</v>
      </c>
      <c r="S17" s="109" t="s">
        <v>188</v>
      </c>
      <c r="T17" s="109" t="s">
        <v>188</v>
      </c>
      <c r="U17" s="131"/>
      <c r="V17" s="109" t="s">
        <v>188</v>
      </c>
      <c r="W17" s="109" t="s">
        <v>188</v>
      </c>
      <c r="X17" s="109" t="s">
        <v>188</v>
      </c>
      <c r="Y17" s="109" t="s">
        <v>188</v>
      </c>
      <c r="Z17" s="131"/>
      <c r="AA17" s="109" t="s">
        <v>188</v>
      </c>
      <c r="AB17" s="109" t="s">
        <v>188</v>
      </c>
      <c r="AC17" s="109" t="s">
        <v>188</v>
      </c>
      <c r="AD17" s="109" t="s">
        <v>188</v>
      </c>
      <c r="AE17" s="132"/>
      <c r="AF17" s="109" t="s">
        <v>188</v>
      </c>
      <c r="AG17" s="109" t="s">
        <v>188</v>
      </c>
      <c r="AH17" s="109" t="s">
        <v>188</v>
      </c>
      <c r="AI17" s="109" t="s">
        <v>188</v>
      </c>
      <c r="AJ17" s="131"/>
      <c r="AK17" s="109" t="s">
        <v>188</v>
      </c>
      <c r="AL17" s="109" t="s">
        <v>188</v>
      </c>
      <c r="AM17" s="109" t="s">
        <v>188</v>
      </c>
      <c r="AN17" s="109" t="s">
        <v>188</v>
      </c>
      <c r="AO17" s="131"/>
      <c r="AP17" s="109" t="s">
        <v>188</v>
      </c>
      <c r="AQ17" s="109" t="s">
        <v>188</v>
      </c>
      <c r="AR17" s="109" t="s">
        <v>188</v>
      </c>
      <c r="AS17" s="109" t="s">
        <v>188</v>
      </c>
      <c r="AT17" s="131"/>
      <c r="AU17" s="109" t="s">
        <v>188</v>
      </c>
      <c r="AV17" s="109" t="s">
        <v>188</v>
      </c>
      <c r="AW17" s="109" t="s">
        <v>188</v>
      </c>
      <c r="AX17" s="109" t="s">
        <v>188</v>
      </c>
      <c r="AY17" s="131"/>
      <c r="AZ17" s="109" t="s">
        <v>188</v>
      </c>
      <c r="BA17" s="109" t="s">
        <v>188</v>
      </c>
      <c r="BB17" s="109" t="s">
        <v>188</v>
      </c>
      <c r="BC17" s="109" t="s">
        <v>188</v>
      </c>
      <c r="BD17" s="131"/>
      <c r="BE17" s="109" t="s">
        <v>188</v>
      </c>
      <c r="BF17" s="109" t="s">
        <v>188</v>
      </c>
      <c r="BG17" s="109" t="s">
        <v>188</v>
      </c>
      <c r="BH17" s="109" t="s">
        <v>188</v>
      </c>
    </row>
    <row r="18" spans="1:61" s="133" customFormat="1" x14ac:dyDescent="0.3">
      <c r="A18" s="114" t="s">
        <v>4</v>
      </c>
      <c r="B18" s="110">
        <v>0.30909999999999999</v>
      </c>
      <c r="C18" s="110">
        <v>0.32619999999999999</v>
      </c>
      <c r="D18" s="110">
        <v>0.33260000000000001</v>
      </c>
      <c r="E18" s="110">
        <v>0.28499999999999998</v>
      </c>
      <c r="F18" s="134"/>
      <c r="G18" s="109" t="s">
        <v>188</v>
      </c>
      <c r="H18" s="109" t="s">
        <v>188</v>
      </c>
      <c r="I18" s="109" t="s">
        <v>188</v>
      </c>
      <c r="J18" s="109" t="s">
        <v>188</v>
      </c>
      <c r="K18" s="134"/>
      <c r="L18" s="110">
        <v>0.22559999999999999</v>
      </c>
      <c r="M18" s="124">
        <v>0.2427</v>
      </c>
      <c r="N18" s="110">
        <v>0.22720000000000001</v>
      </c>
      <c r="O18" s="110">
        <v>0.28499999999999998</v>
      </c>
      <c r="P18" s="134"/>
      <c r="Q18" s="110">
        <v>0.35510000000000003</v>
      </c>
      <c r="R18" s="119">
        <v>0.37809999999999999</v>
      </c>
      <c r="S18" s="110">
        <v>0.33260000000000001</v>
      </c>
      <c r="T18" s="110">
        <v>0.28499999999999998</v>
      </c>
      <c r="U18" s="134"/>
      <c r="V18" s="110">
        <v>0.2777</v>
      </c>
      <c r="W18" s="110">
        <v>0.29509999999999997</v>
      </c>
      <c r="X18" s="110">
        <v>0.37280000000000002</v>
      </c>
      <c r="Y18" s="110">
        <v>0.28499999999999998</v>
      </c>
      <c r="Z18" s="134"/>
      <c r="AA18" s="110">
        <v>0.53749999999999998</v>
      </c>
      <c r="AB18" s="110">
        <v>0.55669999999999997</v>
      </c>
      <c r="AC18" s="110">
        <v>0.62239999999999995</v>
      </c>
      <c r="AD18" s="110">
        <v>0.28499999999999998</v>
      </c>
      <c r="AE18" s="134"/>
      <c r="AF18" s="125">
        <v>0.35439999999999999</v>
      </c>
      <c r="AG18" s="125">
        <v>0.37319999999999998</v>
      </c>
      <c r="AH18" s="125">
        <v>0.2893</v>
      </c>
      <c r="AI18" s="125">
        <v>0.28499999999999998</v>
      </c>
      <c r="AJ18" s="134"/>
      <c r="AK18" s="128">
        <v>0.39269999999999999</v>
      </c>
      <c r="AL18" s="127">
        <v>0.4133</v>
      </c>
      <c r="AM18" s="128">
        <v>0.46260000000000001</v>
      </c>
      <c r="AN18" s="128">
        <v>0.28499999999999998</v>
      </c>
      <c r="AO18" s="134"/>
      <c r="AP18" s="128">
        <v>0.38479999999999998</v>
      </c>
      <c r="AQ18" s="124">
        <v>0.40339999999999998</v>
      </c>
      <c r="AR18" s="128">
        <v>0.40849999999999997</v>
      </c>
      <c r="AS18" s="128">
        <v>0.28499999999999998</v>
      </c>
      <c r="AT18" s="134"/>
      <c r="AU18" s="127">
        <v>0.38469999999999999</v>
      </c>
      <c r="AV18" s="127">
        <v>0.40439999999999998</v>
      </c>
      <c r="AW18" s="127">
        <v>0.64910000000000001</v>
      </c>
      <c r="AX18" s="127">
        <v>0.28499999999999998</v>
      </c>
      <c r="AY18" s="131"/>
      <c r="AZ18" s="127">
        <v>0.57310000000000005</v>
      </c>
      <c r="BA18" s="127">
        <v>0.59819999999999995</v>
      </c>
      <c r="BB18" s="127">
        <v>0.57379999999999998</v>
      </c>
      <c r="BC18" s="127">
        <v>0.28499999999999998</v>
      </c>
      <c r="BD18" s="131"/>
      <c r="BE18" s="127">
        <v>0.31819999999999998</v>
      </c>
      <c r="BF18" s="127">
        <v>0.33489999999999998</v>
      </c>
      <c r="BG18" s="127">
        <v>0.33260000000000001</v>
      </c>
      <c r="BH18" s="127">
        <v>0.28499999999999998</v>
      </c>
    </row>
    <row r="19" spans="1:61" s="133" customFormat="1" x14ac:dyDescent="0.3">
      <c r="A19" s="114" t="s">
        <v>16</v>
      </c>
      <c r="B19" s="110">
        <v>0.1973</v>
      </c>
      <c r="C19" s="110">
        <v>0.21179999999999999</v>
      </c>
      <c r="D19" s="110">
        <v>0.19850000000000001</v>
      </c>
      <c r="E19" s="110">
        <v>0.1835</v>
      </c>
      <c r="F19" s="134"/>
      <c r="G19" s="109" t="s">
        <v>188</v>
      </c>
      <c r="H19" s="109" t="s">
        <v>188</v>
      </c>
      <c r="I19" s="109" t="s">
        <v>188</v>
      </c>
      <c r="J19" s="109" t="s">
        <v>188</v>
      </c>
      <c r="K19" s="134"/>
      <c r="L19" s="110">
        <v>0.1447</v>
      </c>
      <c r="M19" s="124">
        <v>0.1595</v>
      </c>
      <c r="N19" s="110">
        <v>0.1641</v>
      </c>
      <c r="O19" s="110">
        <v>0.1835</v>
      </c>
      <c r="P19" s="134"/>
      <c r="Q19" s="109" t="s">
        <v>188</v>
      </c>
      <c r="R19" s="109" t="s">
        <v>188</v>
      </c>
      <c r="S19" s="109" t="s">
        <v>188</v>
      </c>
      <c r="T19" s="109" t="s">
        <v>188</v>
      </c>
      <c r="U19" s="134"/>
      <c r="V19" s="110">
        <v>0.1779</v>
      </c>
      <c r="W19" s="110">
        <v>0.1925</v>
      </c>
      <c r="X19" s="110">
        <v>0.21479999999999999</v>
      </c>
      <c r="Y19" s="110">
        <v>0.1835</v>
      </c>
      <c r="Z19" s="134"/>
      <c r="AA19" s="110">
        <v>0.25950000000000001</v>
      </c>
      <c r="AB19" s="110">
        <v>0.27689999999999998</v>
      </c>
      <c r="AC19" s="110">
        <v>0.1956</v>
      </c>
      <c r="AD19" s="110">
        <v>0.1835</v>
      </c>
      <c r="AE19" s="134"/>
      <c r="AF19" s="125">
        <v>0.1862</v>
      </c>
      <c r="AG19" s="125">
        <v>0.20230000000000001</v>
      </c>
      <c r="AH19" s="125">
        <v>0.18179999999999999</v>
      </c>
      <c r="AI19" s="125">
        <v>0.1835</v>
      </c>
      <c r="AJ19" s="134"/>
      <c r="AK19" s="128">
        <v>0.23880000000000001</v>
      </c>
      <c r="AL19" s="127">
        <v>0.2571</v>
      </c>
      <c r="AM19" s="128">
        <v>0.25640000000000002</v>
      </c>
      <c r="AN19" s="128">
        <v>0.1835</v>
      </c>
      <c r="AO19" s="134"/>
      <c r="AP19" s="128">
        <v>0.21199999999999999</v>
      </c>
      <c r="AQ19" s="124">
        <v>0.22839999999999999</v>
      </c>
      <c r="AR19" s="128">
        <v>0.22020000000000001</v>
      </c>
      <c r="AS19" s="128">
        <v>0.1835</v>
      </c>
      <c r="AT19" s="134"/>
      <c r="AU19" s="127">
        <v>0.18210000000000001</v>
      </c>
      <c r="AV19" s="127">
        <v>0.19670000000000001</v>
      </c>
      <c r="AW19" s="127">
        <v>0.1399</v>
      </c>
      <c r="AX19" s="127">
        <v>0.1835</v>
      </c>
      <c r="AY19" s="131"/>
      <c r="AZ19" s="127">
        <v>0.29360000000000003</v>
      </c>
      <c r="BA19" s="127">
        <v>0.31430000000000002</v>
      </c>
      <c r="BB19" s="127">
        <v>0.25180000000000002</v>
      </c>
      <c r="BC19" s="127">
        <v>0.1835</v>
      </c>
      <c r="BD19" s="131"/>
      <c r="BE19" s="127">
        <v>0.20019999999999999</v>
      </c>
      <c r="BF19" s="127">
        <v>0.2152</v>
      </c>
      <c r="BG19" s="127">
        <v>0.19850000000000001</v>
      </c>
      <c r="BH19" s="127">
        <v>0.1835</v>
      </c>
    </row>
    <row r="20" spans="1:61" s="133" customFormat="1" x14ac:dyDescent="0.3">
      <c r="A20" s="114" t="s">
        <v>17</v>
      </c>
      <c r="B20" s="110">
        <v>0.1741</v>
      </c>
      <c r="C20" s="110">
        <v>0.18959999999999999</v>
      </c>
      <c r="D20" s="110">
        <v>0.1668</v>
      </c>
      <c r="E20" s="110">
        <v>0.16600000000000001</v>
      </c>
      <c r="F20" s="134"/>
      <c r="G20" s="109" t="s">
        <v>188</v>
      </c>
      <c r="H20" s="109" t="s">
        <v>188</v>
      </c>
      <c r="I20" s="109" t="s">
        <v>188</v>
      </c>
      <c r="J20" s="109" t="s">
        <v>188</v>
      </c>
      <c r="K20" s="134"/>
      <c r="L20" s="110">
        <v>0.14799999999999999</v>
      </c>
      <c r="M20" s="124">
        <v>0.16489999999999999</v>
      </c>
      <c r="N20" s="110">
        <v>0.183</v>
      </c>
      <c r="O20" s="110">
        <v>0.16600000000000001</v>
      </c>
      <c r="P20" s="134"/>
      <c r="Q20" s="109" t="s">
        <v>188</v>
      </c>
      <c r="R20" s="109" t="s">
        <v>188</v>
      </c>
      <c r="S20" s="109" t="s">
        <v>188</v>
      </c>
      <c r="T20" s="109" t="s">
        <v>188</v>
      </c>
      <c r="U20" s="134"/>
      <c r="V20" s="110">
        <v>0.16259999999999999</v>
      </c>
      <c r="W20" s="110">
        <v>0.1787</v>
      </c>
      <c r="X20" s="110">
        <v>0.17519999999999999</v>
      </c>
      <c r="Y20" s="110">
        <v>0.16600000000000001</v>
      </c>
      <c r="Z20" s="134"/>
      <c r="AA20" s="110">
        <v>0.1749</v>
      </c>
      <c r="AB20" s="110">
        <v>0.193</v>
      </c>
      <c r="AC20" s="110">
        <v>0.1048</v>
      </c>
      <c r="AD20" s="110">
        <v>0.16600000000000001</v>
      </c>
      <c r="AE20" s="134"/>
      <c r="AF20" s="125">
        <v>0.15240000000000001</v>
      </c>
      <c r="AG20" s="125">
        <v>0.1699</v>
      </c>
      <c r="AH20" s="125">
        <v>0.16170000000000001</v>
      </c>
      <c r="AI20" s="125">
        <v>0.16600000000000001</v>
      </c>
      <c r="AJ20" s="134"/>
      <c r="AK20" s="128">
        <v>0.18310000000000001</v>
      </c>
      <c r="AL20" s="127">
        <v>0.2019</v>
      </c>
      <c r="AM20" s="128">
        <v>0.18540000000000001</v>
      </c>
      <c r="AN20" s="128">
        <v>0.16600000000000001</v>
      </c>
      <c r="AO20" s="134"/>
      <c r="AP20" s="128">
        <v>0.15490000000000001</v>
      </c>
      <c r="AQ20" s="124">
        <v>0.17199999999999999</v>
      </c>
      <c r="AR20" s="128">
        <v>0.16889999999999999</v>
      </c>
      <c r="AS20" s="128">
        <v>0.16600000000000001</v>
      </c>
      <c r="AT20" s="134"/>
      <c r="AU20" s="127">
        <v>9.1399999999999995E-2</v>
      </c>
      <c r="AV20" s="127">
        <v>0.1067</v>
      </c>
      <c r="AW20" s="127">
        <v>5.3800000000000001E-2</v>
      </c>
      <c r="AX20" s="127">
        <v>0.16600000000000001</v>
      </c>
      <c r="AY20" s="131"/>
      <c r="AZ20" s="130" t="s">
        <v>188</v>
      </c>
      <c r="BA20" s="130" t="s">
        <v>188</v>
      </c>
      <c r="BB20" s="130" t="s">
        <v>188</v>
      </c>
      <c r="BC20" s="130" t="s">
        <v>188</v>
      </c>
      <c r="BD20" s="131"/>
      <c r="BE20" s="127">
        <v>0.16850000000000001</v>
      </c>
      <c r="BF20" s="127">
        <v>0.18479999999999999</v>
      </c>
      <c r="BG20" s="127">
        <v>0.1668</v>
      </c>
      <c r="BH20" s="127">
        <v>0.16600000000000001</v>
      </c>
    </row>
    <row r="21" spans="1:61" s="135" customFormat="1" x14ac:dyDescent="0.3">
      <c r="A21" s="115" t="s">
        <v>18</v>
      </c>
      <c r="B21" s="110">
        <v>0.13669999999999999</v>
      </c>
      <c r="C21" s="110">
        <v>0.15260000000000001</v>
      </c>
      <c r="D21" s="110">
        <v>0.1249</v>
      </c>
      <c r="E21" s="110">
        <v>0.11509999999999999</v>
      </c>
      <c r="F21" s="134"/>
      <c r="G21" s="109" t="s">
        <v>188</v>
      </c>
      <c r="H21" s="109" t="s">
        <v>188</v>
      </c>
      <c r="I21" s="109" t="s">
        <v>188</v>
      </c>
      <c r="J21" s="109" t="s">
        <v>188</v>
      </c>
      <c r="K21" s="134"/>
      <c r="L21" s="110">
        <v>0.113</v>
      </c>
      <c r="M21" s="124">
        <v>0.13059999999999999</v>
      </c>
      <c r="N21" s="110">
        <v>0.1295</v>
      </c>
      <c r="O21" s="110">
        <v>0.11509999999999999</v>
      </c>
      <c r="P21" s="134"/>
      <c r="Q21" s="109" t="s">
        <v>188</v>
      </c>
      <c r="R21" s="109" t="s">
        <v>188</v>
      </c>
      <c r="S21" s="109" t="s">
        <v>188</v>
      </c>
      <c r="T21" s="109" t="s">
        <v>188</v>
      </c>
      <c r="U21" s="134"/>
      <c r="V21" s="110">
        <v>0.12230000000000001</v>
      </c>
      <c r="W21" s="110">
        <v>0.13930000000000001</v>
      </c>
      <c r="X21" s="110">
        <v>0.13930000000000001</v>
      </c>
      <c r="Y21" s="110">
        <v>0.11509999999999999</v>
      </c>
      <c r="Z21" s="134"/>
      <c r="AA21" s="110">
        <v>0.1207</v>
      </c>
      <c r="AB21" s="110">
        <v>0.13880000000000001</v>
      </c>
      <c r="AC21" s="110">
        <v>8.8999999999999996E-2</v>
      </c>
      <c r="AD21" s="110">
        <v>0.11509999999999999</v>
      </c>
      <c r="AE21" s="134"/>
      <c r="AF21" s="125">
        <v>0.1148</v>
      </c>
      <c r="AG21" s="125">
        <v>0.1326</v>
      </c>
      <c r="AH21" s="125">
        <v>0.11749999999999999</v>
      </c>
      <c r="AI21" s="125">
        <v>0.11509999999999999</v>
      </c>
      <c r="AJ21" s="134"/>
      <c r="AK21" s="110">
        <v>0.14560000000000001</v>
      </c>
      <c r="AL21" s="125">
        <v>0.16470000000000001</v>
      </c>
      <c r="AM21" s="110">
        <v>0.16220000000000001</v>
      </c>
      <c r="AN21" s="110">
        <v>0.11509999999999999</v>
      </c>
      <c r="AO21" s="134"/>
      <c r="AP21" s="110">
        <v>0.1249</v>
      </c>
      <c r="AQ21" s="124">
        <v>0.14230000000000001</v>
      </c>
      <c r="AR21" s="110">
        <v>0.13350000000000001</v>
      </c>
      <c r="AS21" s="110">
        <v>0.11509999999999999</v>
      </c>
      <c r="AT21" s="134"/>
      <c r="AU21" s="125">
        <v>9.8799999999999999E-2</v>
      </c>
      <c r="AV21" s="125">
        <v>0.1154</v>
      </c>
      <c r="AW21" s="125">
        <v>4.99E-2</v>
      </c>
      <c r="AX21" s="125">
        <v>0.11509999999999999</v>
      </c>
      <c r="AY21" s="131"/>
      <c r="AZ21" s="130" t="s">
        <v>188</v>
      </c>
      <c r="BA21" s="130" t="s">
        <v>188</v>
      </c>
      <c r="BB21" s="130" t="s">
        <v>188</v>
      </c>
      <c r="BC21" s="130" t="s">
        <v>188</v>
      </c>
      <c r="BD21" s="131"/>
      <c r="BE21" s="125">
        <v>0.13100000000000001</v>
      </c>
      <c r="BF21" s="125">
        <v>0.1477</v>
      </c>
      <c r="BG21" s="125">
        <v>0.1249</v>
      </c>
      <c r="BH21" s="125">
        <v>0.11509999999999999</v>
      </c>
    </row>
    <row r="22" spans="1:61" s="133" customFormat="1" x14ac:dyDescent="0.3">
      <c r="A22" s="114" t="s">
        <v>19</v>
      </c>
      <c r="B22" s="110">
        <v>0.17949999999999999</v>
      </c>
      <c r="C22" s="109" t="s">
        <v>188</v>
      </c>
      <c r="D22" s="110">
        <v>0.1525</v>
      </c>
      <c r="E22" s="110">
        <v>0.14180000000000001</v>
      </c>
      <c r="F22" s="131"/>
      <c r="G22" s="109" t="s">
        <v>188</v>
      </c>
      <c r="H22" s="109" t="s">
        <v>188</v>
      </c>
      <c r="I22" s="109" t="s">
        <v>188</v>
      </c>
      <c r="J22" s="109" t="s">
        <v>188</v>
      </c>
      <c r="K22" s="131"/>
      <c r="L22" s="110">
        <v>0.15579999999999999</v>
      </c>
      <c r="M22" s="109" t="s">
        <v>188</v>
      </c>
      <c r="N22" s="110">
        <v>0.16919999999999999</v>
      </c>
      <c r="O22" s="110">
        <v>0.14180000000000001</v>
      </c>
      <c r="P22" s="134"/>
      <c r="Q22" s="109" t="s">
        <v>188</v>
      </c>
      <c r="R22" s="109" t="s">
        <v>188</v>
      </c>
      <c r="S22" s="109" t="s">
        <v>188</v>
      </c>
      <c r="T22" s="109" t="s">
        <v>188</v>
      </c>
      <c r="U22" s="131"/>
      <c r="V22" s="110">
        <v>0.1598</v>
      </c>
      <c r="W22" s="109" t="s">
        <v>188</v>
      </c>
      <c r="X22" s="110">
        <v>0.17219999999999999</v>
      </c>
      <c r="Y22" s="110">
        <v>0.14180000000000001</v>
      </c>
      <c r="Z22" s="131"/>
      <c r="AA22" s="110">
        <v>0.16070000000000001</v>
      </c>
      <c r="AB22" s="109" t="s">
        <v>188</v>
      </c>
      <c r="AC22" s="110">
        <v>0.11509999999999999</v>
      </c>
      <c r="AD22" s="110">
        <v>0.14180000000000001</v>
      </c>
      <c r="AE22" s="131"/>
      <c r="AF22" s="125">
        <v>0.14699999999999999</v>
      </c>
      <c r="AG22" s="87" t="s">
        <v>188</v>
      </c>
      <c r="AH22" s="125">
        <v>0.14660000000000001</v>
      </c>
      <c r="AI22" s="125">
        <v>0.14180000000000001</v>
      </c>
      <c r="AJ22" s="131"/>
      <c r="AK22" s="127">
        <v>0.20549999999999999</v>
      </c>
      <c r="AL22" s="109" t="s">
        <v>188</v>
      </c>
      <c r="AM22" s="127">
        <v>0.192</v>
      </c>
      <c r="AN22" s="127">
        <v>0.14180000000000001</v>
      </c>
      <c r="AO22" s="131"/>
      <c r="AP22" s="127">
        <v>0.19350000000000001</v>
      </c>
      <c r="AQ22" s="87" t="s">
        <v>188</v>
      </c>
      <c r="AR22" s="127">
        <v>0.16639999999999999</v>
      </c>
      <c r="AS22" s="127">
        <v>0.14180000000000001</v>
      </c>
      <c r="AT22" s="131"/>
      <c r="AU22" s="127">
        <v>0.108</v>
      </c>
      <c r="AV22" s="130" t="s">
        <v>188</v>
      </c>
      <c r="AW22" s="127">
        <v>5.0599999999999999E-2</v>
      </c>
      <c r="AX22" s="127">
        <v>0.14180000000000001</v>
      </c>
      <c r="AY22" s="131"/>
      <c r="AZ22" s="130" t="s">
        <v>188</v>
      </c>
      <c r="BA22" s="130" t="s">
        <v>188</v>
      </c>
      <c r="BB22" s="130" t="s">
        <v>188</v>
      </c>
      <c r="BC22" s="130" t="s">
        <v>188</v>
      </c>
      <c r="BD22" s="131"/>
      <c r="BE22" s="127">
        <v>0.17499999999999999</v>
      </c>
      <c r="BF22" s="130" t="s">
        <v>188</v>
      </c>
      <c r="BG22" s="127">
        <v>0.1525</v>
      </c>
      <c r="BH22" s="127">
        <v>0.14180000000000001</v>
      </c>
    </row>
    <row r="23" spans="1:61" s="136" customFormat="1" ht="15" customHeight="1" x14ac:dyDescent="0.3">
      <c r="A23" s="116" t="s">
        <v>22</v>
      </c>
      <c r="B23" s="110">
        <v>0.1479</v>
      </c>
      <c r="C23" s="109" t="s">
        <v>188</v>
      </c>
      <c r="D23" s="110">
        <v>0.12509999999999999</v>
      </c>
      <c r="E23" s="110">
        <v>0.1198</v>
      </c>
      <c r="F23" s="134"/>
      <c r="G23" s="109" t="s">
        <v>188</v>
      </c>
      <c r="H23" s="109" t="s">
        <v>188</v>
      </c>
      <c r="I23" s="109" t="s">
        <v>188</v>
      </c>
      <c r="J23" s="109" t="s">
        <v>188</v>
      </c>
      <c r="K23" s="134"/>
      <c r="L23" s="110">
        <v>0.16289999999999999</v>
      </c>
      <c r="M23" s="109" t="s">
        <v>188</v>
      </c>
      <c r="N23" s="110">
        <v>0.17499999999999999</v>
      </c>
      <c r="O23" s="110">
        <v>0.1268</v>
      </c>
      <c r="P23" s="134"/>
      <c r="Q23" s="110">
        <v>0.40699999999999997</v>
      </c>
      <c r="R23" s="109" t="s">
        <v>188</v>
      </c>
      <c r="S23" s="110">
        <v>0.4355</v>
      </c>
      <c r="T23" s="110">
        <v>0.3987</v>
      </c>
      <c r="U23" s="134"/>
      <c r="V23" s="110">
        <v>0.1212</v>
      </c>
      <c r="W23" s="109" t="s">
        <v>188</v>
      </c>
      <c r="X23" s="110">
        <v>0.128</v>
      </c>
      <c r="Y23" s="110">
        <v>0.11219999999999999</v>
      </c>
      <c r="Z23" s="134"/>
      <c r="AA23" s="110">
        <v>8.4099999999999994E-2</v>
      </c>
      <c r="AB23" s="109" t="s">
        <v>188</v>
      </c>
      <c r="AC23" s="110">
        <v>4.3999999999999997E-2</v>
      </c>
      <c r="AD23" s="110">
        <v>9.6199999999999994E-2</v>
      </c>
      <c r="AE23" s="134"/>
      <c r="AF23" s="125">
        <v>0.12870000000000001</v>
      </c>
      <c r="AG23" s="87" t="s">
        <v>188</v>
      </c>
      <c r="AH23" s="125">
        <v>0.13150000000000001</v>
      </c>
      <c r="AI23" s="125">
        <v>0.12709999999999999</v>
      </c>
      <c r="AJ23" s="134"/>
      <c r="AK23" s="128">
        <v>0.15820000000000001</v>
      </c>
      <c r="AL23" s="109" t="s">
        <v>188</v>
      </c>
      <c r="AM23" s="128">
        <v>0.1447</v>
      </c>
      <c r="AN23" s="128">
        <v>0.1174</v>
      </c>
      <c r="AO23" s="134"/>
      <c r="AP23" s="128">
        <v>0.16139999999999999</v>
      </c>
      <c r="AQ23" s="87" t="s">
        <v>188</v>
      </c>
      <c r="AR23" s="128">
        <v>0.13489999999999999</v>
      </c>
      <c r="AS23" s="128">
        <v>0.1152</v>
      </c>
      <c r="AT23" s="134"/>
      <c r="AU23" s="127">
        <v>8.43E-2</v>
      </c>
      <c r="AV23" s="130" t="s">
        <v>188</v>
      </c>
      <c r="AW23" s="127">
        <v>2.5499999999999998E-2</v>
      </c>
      <c r="AX23" s="127">
        <v>0.1195</v>
      </c>
      <c r="AY23" s="131"/>
      <c r="AZ23" s="127">
        <v>0.2631</v>
      </c>
      <c r="BA23" s="127"/>
      <c r="BB23" s="127">
        <v>0.23250000000000001</v>
      </c>
      <c r="BC23" s="127">
        <v>0.19020000000000001</v>
      </c>
      <c r="BD23" s="131"/>
      <c r="BE23" s="127">
        <v>0.15060000000000001</v>
      </c>
      <c r="BF23" s="130" t="s">
        <v>188</v>
      </c>
      <c r="BG23" s="127">
        <v>0.11940000000000001</v>
      </c>
      <c r="BH23" s="127">
        <v>0.1158</v>
      </c>
    </row>
    <row r="24" spans="1:61" s="136" customFormat="1" ht="15" customHeight="1" x14ac:dyDescent="0.3">
      <c r="A24" s="116" t="s">
        <v>23</v>
      </c>
      <c r="B24" s="109" t="s">
        <v>188</v>
      </c>
      <c r="C24" s="110">
        <v>0.19309999999999999</v>
      </c>
      <c r="D24" s="110">
        <v>0.1474</v>
      </c>
      <c r="E24" s="110">
        <v>0.1386</v>
      </c>
      <c r="F24" s="134"/>
      <c r="G24" s="109" t="s">
        <v>188</v>
      </c>
      <c r="H24" s="109" t="s">
        <v>188</v>
      </c>
      <c r="I24" s="109" t="s">
        <v>188</v>
      </c>
      <c r="J24" s="109" t="s">
        <v>188</v>
      </c>
      <c r="K24" s="134"/>
      <c r="L24" s="109" t="s">
        <v>188</v>
      </c>
      <c r="M24" s="110">
        <v>0.15329999999999999</v>
      </c>
      <c r="N24" s="110">
        <v>0.15529999999999999</v>
      </c>
      <c r="O24" s="110">
        <v>0.1386</v>
      </c>
      <c r="P24" s="134"/>
      <c r="Q24" s="109" t="s">
        <v>188</v>
      </c>
      <c r="R24" s="110">
        <v>0.43209999999999998</v>
      </c>
      <c r="S24" s="110">
        <v>0.4355</v>
      </c>
      <c r="T24" s="110">
        <v>0.3987</v>
      </c>
      <c r="U24" s="134"/>
      <c r="V24" s="109" t="s">
        <v>188</v>
      </c>
      <c r="W24" s="110">
        <v>0.17499999999999999</v>
      </c>
      <c r="X24" s="110">
        <v>0.1646</v>
      </c>
      <c r="Y24" s="110">
        <v>0.1386</v>
      </c>
      <c r="Z24" s="134"/>
      <c r="AA24" s="123"/>
      <c r="AB24" s="110">
        <v>0.18509999999999999</v>
      </c>
      <c r="AC24" s="110">
        <v>0.1206</v>
      </c>
      <c r="AD24" s="110">
        <v>0.1386</v>
      </c>
      <c r="AE24" s="134"/>
      <c r="AF24" s="87"/>
      <c r="AG24" s="125">
        <v>0.16350000000000001</v>
      </c>
      <c r="AH24" s="125">
        <v>0.14169999999999999</v>
      </c>
      <c r="AI24" s="125">
        <v>0.1386</v>
      </c>
      <c r="AJ24" s="134"/>
      <c r="AK24" s="109" t="s">
        <v>188</v>
      </c>
      <c r="AL24" s="125">
        <v>0.21160000000000001</v>
      </c>
      <c r="AM24" s="125">
        <v>0.1845</v>
      </c>
      <c r="AN24" s="125">
        <v>0.1386</v>
      </c>
      <c r="AO24" s="134"/>
      <c r="AP24" s="87" t="s">
        <v>188</v>
      </c>
      <c r="AQ24" s="127">
        <v>0.19639999999999999</v>
      </c>
      <c r="AR24" s="128">
        <v>0.15989999999999999</v>
      </c>
      <c r="AS24" s="128">
        <v>0.1386</v>
      </c>
      <c r="AT24" s="134"/>
      <c r="AU24" s="130"/>
      <c r="AV24" s="127">
        <v>0.12640000000000001</v>
      </c>
      <c r="AW24" s="127">
        <v>5.4399999999999997E-2</v>
      </c>
      <c r="AX24" s="127">
        <v>0.1386</v>
      </c>
      <c r="AY24" s="131"/>
      <c r="AZ24" s="130"/>
      <c r="BA24" s="127">
        <v>0.28370000000000001</v>
      </c>
      <c r="BB24" s="127">
        <v>0.23250000000000001</v>
      </c>
      <c r="BC24" s="127">
        <v>0.19020000000000001</v>
      </c>
      <c r="BD24" s="131"/>
      <c r="BE24" s="130" t="s">
        <v>188</v>
      </c>
      <c r="BF24" s="127">
        <v>0.188</v>
      </c>
      <c r="BG24" s="127">
        <v>0.1474</v>
      </c>
      <c r="BH24" s="127">
        <v>0.1386</v>
      </c>
    </row>
    <row r="25" spans="1:61" s="136" customFormat="1" ht="15" customHeight="1" x14ac:dyDescent="0.3">
      <c r="A25" s="117"/>
      <c r="B25" s="357" t="s">
        <v>21</v>
      </c>
      <c r="C25" s="357"/>
      <c r="D25" s="357"/>
      <c r="E25" s="357"/>
      <c r="F25" s="137"/>
      <c r="G25" s="357" t="s">
        <v>21</v>
      </c>
      <c r="H25" s="357"/>
      <c r="I25" s="357"/>
      <c r="J25" s="357"/>
      <c r="K25" s="137"/>
      <c r="L25" s="357" t="s">
        <v>21</v>
      </c>
      <c r="M25" s="357"/>
      <c r="N25" s="357"/>
      <c r="O25" s="357"/>
      <c r="P25" s="137"/>
      <c r="Q25" s="357" t="s">
        <v>21</v>
      </c>
      <c r="R25" s="357"/>
      <c r="S25" s="357"/>
      <c r="T25" s="357"/>
      <c r="U25" s="137"/>
      <c r="V25" s="357" t="s">
        <v>21</v>
      </c>
      <c r="W25" s="357"/>
      <c r="X25" s="357"/>
      <c r="Y25" s="357"/>
      <c r="Z25" s="137"/>
      <c r="AA25" s="357" t="s">
        <v>21</v>
      </c>
      <c r="AB25" s="357"/>
      <c r="AC25" s="357"/>
      <c r="AD25" s="357"/>
      <c r="AE25" s="137"/>
      <c r="AF25" s="358" t="s">
        <v>21</v>
      </c>
      <c r="AG25" s="358"/>
      <c r="AH25" s="358"/>
      <c r="AI25" s="358"/>
      <c r="AJ25" s="137"/>
      <c r="AK25" s="357" t="s">
        <v>21</v>
      </c>
      <c r="AL25" s="357"/>
      <c r="AM25" s="357"/>
      <c r="AN25" s="357"/>
      <c r="AO25" s="137"/>
      <c r="AP25" s="357" t="s">
        <v>21</v>
      </c>
      <c r="AQ25" s="357"/>
      <c r="AR25" s="357"/>
      <c r="AS25" s="357"/>
      <c r="AT25" s="137"/>
      <c r="AU25" s="357" t="s">
        <v>21</v>
      </c>
      <c r="AV25" s="357"/>
      <c r="AW25" s="357"/>
      <c r="AX25" s="357"/>
      <c r="AY25" s="138"/>
      <c r="AZ25" s="357" t="s">
        <v>21</v>
      </c>
      <c r="BA25" s="357"/>
      <c r="BB25" s="357"/>
      <c r="BC25" s="357"/>
      <c r="BD25" s="138"/>
      <c r="BE25" s="357" t="s">
        <v>21</v>
      </c>
      <c r="BF25" s="357"/>
      <c r="BG25" s="357"/>
      <c r="BH25" s="357"/>
    </row>
    <row r="26" spans="1:61" s="136" customFormat="1" ht="15" customHeight="1" x14ac:dyDescent="0.3">
      <c r="A26" s="113" t="s">
        <v>33</v>
      </c>
      <c r="B26" s="111"/>
      <c r="C26" s="111"/>
      <c r="D26" s="111"/>
      <c r="E26" s="111"/>
      <c r="F26" s="139"/>
      <c r="G26" s="111"/>
      <c r="H26" s="111"/>
      <c r="I26" s="111"/>
      <c r="J26" s="111"/>
      <c r="K26" s="139"/>
      <c r="L26" s="111"/>
      <c r="M26" s="111"/>
      <c r="N26" s="111"/>
      <c r="O26" s="111"/>
      <c r="P26" s="139"/>
      <c r="Q26" s="109" t="s">
        <v>188</v>
      </c>
      <c r="R26" s="109" t="s">
        <v>188</v>
      </c>
      <c r="S26" s="109" t="s">
        <v>188</v>
      </c>
      <c r="T26" s="109" t="s">
        <v>188</v>
      </c>
      <c r="U26" s="139"/>
      <c r="V26" s="109" t="s">
        <v>188</v>
      </c>
      <c r="W26" s="109" t="s">
        <v>188</v>
      </c>
      <c r="X26" s="109" t="s">
        <v>188</v>
      </c>
      <c r="Y26" s="109" t="s">
        <v>188</v>
      </c>
      <c r="Z26" s="139"/>
      <c r="AA26" s="109" t="s">
        <v>188</v>
      </c>
      <c r="AB26" s="109" t="s">
        <v>188</v>
      </c>
      <c r="AC26" s="109" t="s">
        <v>188</v>
      </c>
      <c r="AD26" s="109" t="s">
        <v>188</v>
      </c>
      <c r="AE26" s="139"/>
      <c r="AF26" s="109" t="s">
        <v>188</v>
      </c>
      <c r="AG26" s="109" t="s">
        <v>188</v>
      </c>
      <c r="AH26" s="109" t="s">
        <v>188</v>
      </c>
      <c r="AI26" s="109" t="s">
        <v>188</v>
      </c>
      <c r="AJ26" s="139"/>
      <c r="AK26" s="111"/>
      <c r="AL26" s="111"/>
      <c r="AM26" s="111"/>
      <c r="AN26" s="111"/>
      <c r="AO26" s="139"/>
      <c r="AP26" s="87" t="s">
        <v>188</v>
      </c>
      <c r="AQ26" s="87" t="s">
        <v>188</v>
      </c>
      <c r="AR26" s="87" t="s">
        <v>188</v>
      </c>
      <c r="AS26" s="87" t="s">
        <v>188</v>
      </c>
      <c r="AT26" s="139"/>
      <c r="AU26" s="111"/>
      <c r="AV26" s="111"/>
      <c r="AW26" s="111"/>
      <c r="AX26" s="111"/>
      <c r="AY26" s="139"/>
      <c r="AZ26" s="111"/>
      <c r="BA26" s="111"/>
      <c r="BB26" s="111"/>
      <c r="BC26" s="111"/>
      <c r="BD26" s="139"/>
      <c r="BE26" s="111"/>
      <c r="BF26" s="111"/>
      <c r="BG26" s="111"/>
      <c r="BH26" s="111"/>
      <c r="BI26" s="140"/>
    </row>
    <row r="27" spans="1:61" s="136" customFormat="1" ht="15" customHeight="1" x14ac:dyDescent="0.3">
      <c r="A27" s="116" t="s">
        <v>4</v>
      </c>
      <c r="B27" s="112">
        <v>13110</v>
      </c>
      <c r="C27" s="112">
        <v>13283</v>
      </c>
      <c r="D27" s="112">
        <v>13347</v>
      </c>
      <c r="E27" s="112">
        <v>12868</v>
      </c>
      <c r="F27" s="141"/>
      <c r="G27" s="112">
        <v>11058.0204778157</v>
      </c>
      <c r="H27" s="112">
        <v>11170.483460559797</v>
      </c>
      <c r="I27" s="112">
        <v>10911.792443958417</v>
      </c>
      <c r="J27" s="112">
        <v>11037.657630975256</v>
      </c>
      <c r="K27" s="141"/>
      <c r="L27" s="112">
        <v>12269</v>
      </c>
      <c r="M27" s="112">
        <v>12442</v>
      </c>
      <c r="N27" s="112">
        <v>12286</v>
      </c>
      <c r="O27" s="112">
        <v>12868</v>
      </c>
      <c r="P27" s="141"/>
      <c r="Q27" s="112">
        <v>13574</v>
      </c>
      <c r="R27" s="142">
        <v>13805</v>
      </c>
      <c r="S27" s="112">
        <v>13347</v>
      </c>
      <c r="T27" s="112">
        <v>12868</v>
      </c>
      <c r="U27" s="141"/>
      <c r="V27" s="112">
        <v>12794</v>
      </c>
      <c r="W27" s="112">
        <v>12969</v>
      </c>
      <c r="X27" s="112">
        <v>13751</v>
      </c>
      <c r="Y27" s="112">
        <v>12868</v>
      </c>
      <c r="Z27" s="141"/>
      <c r="AA27" s="112">
        <v>15411</v>
      </c>
      <c r="AB27" s="112">
        <v>15605</v>
      </c>
      <c r="AC27" s="112">
        <v>16267</v>
      </c>
      <c r="AD27" s="112">
        <v>12868</v>
      </c>
      <c r="AE27" s="141"/>
      <c r="AF27" s="81">
        <v>13567</v>
      </c>
      <c r="AG27" s="81">
        <v>13756</v>
      </c>
      <c r="AH27" s="81">
        <v>12911</v>
      </c>
      <c r="AI27" s="81">
        <v>12868</v>
      </c>
      <c r="AJ27" s="141"/>
      <c r="AK27" s="126">
        <v>13952</v>
      </c>
      <c r="AL27" s="111">
        <v>14160</v>
      </c>
      <c r="AM27" s="126">
        <v>14656</v>
      </c>
      <c r="AN27" s="126">
        <v>12868</v>
      </c>
      <c r="AO27" s="141"/>
      <c r="AP27" s="126">
        <v>13873</v>
      </c>
      <c r="AQ27" s="111">
        <v>14060</v>
      </c>
      <c r="AR27" s="126">
        <v>14112</v>
      </c>
      <c r="AS27" s="126">
        <v>12868</v>
      </c>
      <c r="AT27" s="141"/>
      <c r="AU27" s="81">
        <v>13872</v>
      </c>
      <c r="AV27" s="111">
        <v>14070</v>
      </c>
      <c r="AW27" s="111">
        <v>16536</v>
      </c>
      <c r="AX27" s="111">
        <v>12868</v>
      </c>
      <c r="AY27" s="139"/>
      <c r="AZ27" s="111">
        <v>15770</v>
      </c>
      <c r="BA27" s="111">
        <v>16023</v>
      </c>
      <c r="BB27" s="111">
        <v>15777</v>
      </c>
      <c r="BC27" s="111">
        <v>12868</v>
      </c>
      <c r="BD27" s="139"/>
      <c r="BE27" s="111">
        <v>13202</v>
      </c>
      <c r="BF27" s="111">
        <v>13370</v>
      </c>
      <c r="BG27" s="111">
        <v>13347</v>
      </c>
      <c r="BH27" s="111">
        <v>12868</v>
      </c>
    </row>
    <row r="28" spans="1:61" s="136" customFormat="1" ht="15" customHeight="1" x14ac:dyDescent="0.3">
      <c r="A28" s="116" t="s">
        <v>16</v>
      </c>
      <c r="B28" s="112">
        <v>17173</v>
      </c>
      <c r="C28" s="112">
        <v>17804</v>
      </c>
      <c r="D28" s="112">
        <v>17222</v>
      </c>
      <c r="E28" s="112">
        <v>16583</v>
      </c>
      <c r="F28" s="141"/>
      <c r="G28" s="109" t="s">
        <v>188</v>
      </c>
      <c r="H28" s="109" t="s">
        <v>188</v>
      </c>
      <c r="I28" s="109" t="s">
        <v>188</v>
      </c>
      <c r="J28" s="109" t="s">
        <v>188</v>
      </c>
      <c r="K28" s="141"/>
      <c r="L28" s="112">
        <v>15007</v>
      </c>
      <c r="M28" s="112">
        <v>15597</v>
      </c>
      <c r="N28" s="112">
        <v>15782</v>
      </c>
      <c r="O28" s="112">
        <v>16583</v>
      </c>
      <c r="P28" s="141"/>
      <c r="Q28" s="109" t="s">
        <v>188</v>
      </c>
      <c r="R28" s="109" t="s">
        <v>188</v>
      </c>
      <c r="S28" s="109" t="s">
        <v>188</v>
      </c>
      <c r="T28" s="109" t="s">
        <v>188</v>
      </c>
      <c r="U28" s="141"/>
      <c r="V28" s="112">
        <v>16351</v>
      </c>
      <c r="W28" s="112">
        <v>16965</v>
      </c>
      <c r="X28" s="112">
        <v>17935</v>
      </c>
      <c r="Y28" s="112">
        <v>16583</v>
      </c>
      <c r="Z28" s="141"/>
      <c r="AA28" s="112">
        <v>19994</v>
      </c>
      <c r="AB28" s="112">
        <v>20833</v>
      </c>
      <c r="AC28" s="112">
        <v>17100</v>
      </c>
      <c r="AD28" s="112">
        <v>16583</v>
      </c>
      <c r="AE28" s="141"/>
      <c r="AF28" s="81">
        <v>16697</v>
      </c>
      <c r="AG28" s="81">
        <v>17387</v>
      </c>
      <c r="AH28" s="81">
        <v>16512</v>
      </c>
      <c r="AI28" s="81">
        <v>16583</v>
      </c>
      <c r="AJ28" s="141"/>
      <c r="AK28" s="126">
        <v>19024</v>
      </c>
      <c r="AL28" s="111">
        <v>19878</v>
      </c>
      <c r="AM28" s="126">
        <v>19843</v>
      </c>
      <c r="AN28" s="126">
        <v>16583</v>
      </c>
      <c r="AO28" s="141"/>
      <c r="AP28" s="126">
        <v>17813</v>
      </c>
      <c r="AQ28" s="111">
        <v>18548</v>
      </c>
      <c r="AR28" s="126">
        <v>18177</v>
      </c>
      <c r="AS28" s="126">
        <v>16583</v>
      </c>
      <c r="AT28" s="141"/>
      <c r="AU28" s="111">
        <v>16525</v>
      </c>
      <c r="AV28" s="111">
        <v>17148</v>
      </c>
      <c r="AW28" s="111">
        <v>14816</v>
      </c>
      <c r="AX28" s="111">
        <v>16583</v>
      </c>
      <c r="AY28" s="139"/>
      <c r="AZ28" s="111">
        <v>21660</v>
      </c>
      <c r="BA28" s="111">
        <v>22719</v>
      </c>
      <c r="BB28" s="111">
        <v>19629</v>
      </c>
      <c r="BC28" s="111">
        <v>16583</v>
      </c>
      <c r="BD28" s="139"/>
      <c r="BE28" s="111">
        <v>17297</v>
      </c>
      <c r="BF28" s="111">
        <v>17952</v>
      </c>
      <c r="BG28" s="111">
        <v>17222</v>
      </c>
      <c r="BH28" s="111">
        <v>16583</v>
      </c>
    </row>
    <row r="29" spans="1:61" s="136" customFormat="1" ht="15" customHeight="1" x14ac:dyDescent="0.3">
      <c r="A29" s="116" t="s">
        <v>17</v>
      </c>
      <c r="B29" s="112">
        <v>22323</v>
      </c>
      <c r="C29" s="112">
        <v>23839</v>
      </c>
      <c r="D29" s="112">
        <v>21637</v>
      </c>
      <c r="E29" s="112">
        <v>21557</v>
      </c>
      <c r="F29" s="141"/>
      <c r="G29" s="109" t="s">
        <v>188</v>
      </c>
      <c r="H29" s="109" t="s">
        <v>188</v>
      </c>
      <c r="I29" s="109" t="s">
        <v>188</v>
      </c>
      <c r="J29" s="109" t="s">
        <v>188</v>
      </c>
      <c r="K29" s="141"/>
      <c r="L29" s="112">
        <v>19943</v>
      </c>
      <c r="M29" s="112">
        <v>21463</v>
      </c>
      <c r="N29" s="112">
        <v>23185</v>
      </c>
      <c r="O29" s="112">
        <v>21557</v>
      </c>
      <c r="P29" s="141"/>
      <c r="Q29" s="109" t="s">
        <v>188</v>
      </c>
      <c r="R29" s="109" t="s">
        <v>188</v>
      </c>
      <c r="S29" s="109" t="s">
        <v>188</v>
      </c>
      <c r="T29" s="109" t="s">
        <v>188</v>
      </c>
      <c r="U29" s="141"/>
      <c r="V29" s="112">
        <v>21252</v>
      </c>
      <c r="W29" s="112">
        <v>22758</v>
      </c>
      <c r="X29" s="112">
        <v>22427</v>
      </c>
      <c r="Y29" s="112">
        <v>21557</v>
      </c>
      <c r="Z29" s="141"/>
      <c r="AA29" s="112">
        <v>22399</v>
      </c>
      <c r="AB29" s="112">
        <v>24177</v>
      </c>
      <c r="AC29" s="112">
        <v>16461</v>
      </c>
      <c r="AD29" s="112">
        <v>21557</v>
      </c>
      <c r="AE29" s="141"/>
      <c r="AF29" s="81">
        <v>20329</v>
      </c>
      <c r="AG29" s="81">
        <v>21926</v>
      </c>
      <c r="AH29" s="81">
        <v>21162</v>
      </c>
      <c r="AI29" s="81">
        <v>21557</v>
      </c>
      <c r="AJ29" s="141"/>
      <c r="AK29" s="126">
        <v>23191</v>
      </c>
      <c r="AL29" s="111">
        <v>25089</v>
      </c>
      <c r="AM29" s="126">
        <v>23414</v>
      </c>
      <c r="AN29" s="126">
        <v>21557</v>
      </c>
      <c r="AO29" s="141"/>
      <c r="AP29" s="126">
        <v>20556</v>
      </c>
      <c r="AQ29" s="111">
        <v>22121</v>
      </c>
      <c r="AR29" s="126">
        <v>21827</v>
      </c>
      <c r="AS29" s="126">
        <v>21557</v>
      </c>
      <c r="AT29" s="141"/>
      <c r="AU29" s="111">
        <v>15487</v>
      </c>
      <c r="AV29" s="111">
        <v>16605</v>
      </c>
      <c r="AW29" s="111">
        <v>12999</v>
      </c>
      <c r="AX29" s="111">
        <v>21557</v>
      </c>
      <c r="AY29" s="139"/>
      <c r="AZ29" s="130" t="s">
        <v>188</v>
      </c>
      <c r="BA29" s="130" t="s">
        <v>188</v>
      </c>
      <c r="BB29" s="130" t="s">
        <v>188</v>
      </c>
      <c r="BC29" s="130" t="s">
        <v>188</v>
      </c>
      <c r="BD29" s="139"/>
      <c r="BE29" s="111">
        <v>21797</v>
      </c>
      <c r="BF29" s="111">
        <v>23356</v>
      </c>
      <c r="BG29" s="111">
        <v>21637</v>
      </c>
      <c r="BH29" s="111">
        <v>21557</v>
      </c>
    </row>
    <row r="30" spans="1:61" s="143" customFormat="1" ht="15" customHeight="1" x14ac:dyDescent="0.3">
      <c r="A30" s="118" t="s">
        <v>18</v>
      </c>
      <c r="B30" s="112">
        <v>24550</v>
      </c>
      <c r="C30" s="112">
        <v>27049</v>
      </c>
      <c r="D30" s="112">
        <v>22815</v>
      </c>
      <c r="E30" s="112">
        <v>21463</v>
      </c>
      <c r="F30" s="141"/>
      <c r="G30" s="109" t="s">
        <v>188</v>
      </c>
      <c r="H30" s="109" t="s">
        <v>188</v>
      </c>
      <c r="I30" s="109" t="s">
        <v>188</v>
      </c>
      <c r="J30" s="109" t="s">
        <v>188</v>
      </c>
      <c r="K30" s="141"/>
      <c r="L30" s="112">
        <v>21176</v>
      </c>
      <c r="M30" s="112">
        <v>23639</v>
      </c>
      <c r="N30" s="112">
        <v>23479</v>
      </c>
      <c r="O30" s="112">
        <v>21463</v>
      </c>
      <c r="P30" s="141"/>
      <c r="Q30" s="109" t="s">
        <v>188</v>
      </c>
      <c r="R30" s="109" t="s">
        <v>188</v>
      </c>
      <c r="S30" s="109" t="s">
        <v>188</v>
      </c>
      <c r="T30" s="109" t="s">
        <v>188</v>
      </c>
      <c r="U30" s="141"/>
      <c r="V30" s="112">
        <v>22442</v>
      </c>
      <c r="W30" s="112">
        <v>24939</v>
      </c>
      <c r="X30" s="112">
        <v>24948</v>
      </c>
      <c r="Y30" s="112">
        <v>21463</v>
      </c>
      <c r="Z30" s="141"/>
      <c r="AA30" s="112">
        <v>22225</v>
      </c>
      <c r="AB30" s="112">
        <v>24862</v>
      </c>
      <c r="AC30" s="112">
        <v>18177</v>
      </c>
      <c r="AD30" s="112">
        <v>21463</v>
      </c>
      <c r="AE30" s="141"/>
      <c r="AF30" s="81">
        <v>21418</v>
      </c>
      <c r="AG30" s="112">
        <v>23930</v>
      </c>
      <c r="AH30" s="81">
        <v>21778</v>
      </c>
      <c r="AI30" s="81">
        <v>21463</v>
      </c>
      <c r="AJ30" s="141"/>
      <c r="AK30" s="112">
        <v>25920</v>
      </c>
      <c r="AL30" s="112">
        <v>29103</v>
      </c>
      <c r="AM30" s="112">
        <v>28670</v>
      </c>
      <c r="AN30" s="112">
        <v>21463</v>
      </c>
      <c r="AO30" s="141"/>
      <c r="AP30" s="112">
        <v>22811</v>
      </c>
      <c r="AQ30" s="81">
        <v>25400</v>
      </c>
      <c r="AR30" s="112">
        <v>24072</v>
      </c>
      <c r="AS30" s="112">
        <v>21463</v>
      </c>
      <c r="AT30" s="141"/>
      <c r="AU30" s="81">
        <v>19359</v>
      </c>
      <c r="AV30" s="81">
        <v>21498</v>
      </c>
      <c r="AW30" s="81">
        <v>14068</v>
      </c>
      <c r="AX30" s="81">
        <v>21463</v>
      </c>
      <c r="AY30" s="139"/>
      <c r="AZ30" s="130" t="s">
        <v>188</v>
      </c>
      <c r="BA30" s="130" t="s">
        <v>188</v>
      </c>
      <c r="BB30" s="130" t="s">
        <v>188</v>
      </c>
      <c r="BC30" s="130" t="s">
        <v>188</v>
      </c>
      <c r="BD30" s="139"/>
      <c r="BE30" s="81">
        <v>23690</v>
      </c>
      <c r="BF30" s="81">
        <v>26267</v>
      </c>
      <c r="BG30" s="81">
        <v>22815</v>
      </c>
      <c r="BH30" s="81">
        <v>21463</v>
      </c>
    </row>
    <row r="31" spans="1:61" s="136" customFormat="1" ht="15" customHeight="1" x14ac:dyDescent="0.3">
      <c r="A31" s="116" t="s">
        <v>19</v>
      </c>
      <c r="B31" s="112">
        <v>52167</v>
      </c>
      <c r="C31" s="109" t="s">
        <v>188</v>
      </c>
      <c r="D31" s="112">
        <v>41395</v>
      </c>
      <c r="E31" s="112">
        <v>37714</v>
      </c>
      <c r="F31" s="139"/>
      <c r="G31" s="109" t="s">
        <v>188</v>
      </c>
      <c r="H31" s="109" t="s">
        <v>188</v>
      </c>
      <c r="I31" s="109" t="s">
        <v>188</v>
      </c>
      <c r="J31" s="109" t="s">
        <v>188</v>
      </c>
      <c r="K31" s="139"/>
      <c r="L31" s="112">
        <v>42585</v>
      </c>
      <c r="M31" s="109" t="s">
        <v>188</v>
      </c>
      <c r="N31" s="112">
        <v>47803</v>
      </c>
      <c r="O31" s="112">
        <v>37714</v>
      </c>
      <c r="P31" s="141"/>
      <c r="Q31" s="109" t="s">
        <v>188</v>
      </c>
      <c r="R31" s="109" t="s">
        <v>188</v>
      </c>
      <c r="S31" s="109" t="s">
        <v>188</v>
      </c>
      <c r="T31" s="109" t="s">
        <v>188</v>
      </c>
      <c r="U31" s="139"/>
      <c r="V31" s="112">
        <v>44092</v>
      </c>
      <c r="W31" s="109" t="s">
        <v>188</v>
      </c>
      <c r="X31" s="112">
        <v>49057</v>
      </c>
      <c r="Y31" s="112">
        <v>37714</v>
      </c>
      <c r="Z31" s="139"/>
      <c r="AA31" s="112">
        <v>44449</v>
      </c>
      <c r="AB31" s="109" t="s">
        <v>188</v>
      </c>
      <c r="AC31" s="112">
        <v>29743</v>
      </c>
      <c r="AD31" s="112">
        <v>37714</v>
      </c>
      <c r="AE31" s="139"/>
      <c r="AF31" s="81">
        <v>39467</v>
      </c>
      <c r="AG31" s="109" t="s">
        <v>188</v>
      </c>
      <c r="AH31" s="81">
        <v>39310</v>
      </c>
      <c r="AI31" s="81">
        <v>37714</v>
      </c>
      <c r="AJ31" s="139"/>
      <c r="AK31" s="111">
        <v>64897</v>
      </c>
      <c r="AL31" s="109" t="s">
        <v>188</v>
      </c>
      <c r="AM31" s="111">
        <v>57987</v>
      </c>
      <c r="AN31" s="111">
        <v>37714</v>
      </c>
      <c r="AO31" s="139"/>
      <c r="AP31" s="111">
        <v>58749</v>
      </c>
      <c r="AQ31" s="87" t="s">
        <v>188</v>
      </c>
      <c r="AR31" s="111">
        <v>46677</v>
      </c>
      <c r="AS31" s="111">
        <v>37714</v>
      </c>
      <c r="AT31" s="139"/>
      <c r="AU31" s="111">
        <v>27902</v>
      </c>
      <c r="AV31" s="130" t="s">
        <v>188</v>
      </c>
      <c r="AW31" s="111">
        <v>16389</v>
      </c>
      <c r="AX31" s="111">
        <v>37714</v>
      </c>
      <c r="AY31" s="139"/>
      <c r="AZ31" s="130" t="s">
        <v>188</v>
      </c>
      <c r="BA31" s="130" t="s">
        <v>188</v>
      </c>
      <c r="BB31" s="130" t="s">
        <v>188</v>
      </c>
      <c r="BC31" s="130" t="s">
        <v>188</v>
      </c>
      <c r="BD31" s="139"/>
      <c r="BE31" s="111">
        <v>50242</v>
      </c>
      <c r="BF31" s="130" t="s">
        <v>188</v>
      </c>
      <c r="BG31" s="111">
        <v>41395</v>
      </c>
      <c r="BH31" s="111">
        <v>37714</v>
      </c>
    </row>
    <row r="32" spans="1:61" s="136" customFormat="1" ht="15" customHeight="1" x14ac:dyDescent="0.3">
      <c r="A32" s="116" t="s">
        <v>22</v>
      </c>
      <c r="B32" s="112">
        <v>77260</v>
      </c>
      <c r="C32" s="109" t="s">
        <v>188</v>
      </c>
      <c r="D32" s="112">
        <v>57337</v>
      </c>
      <c r="E32" s="112">
        <v>53469</v>
      </c>
      <c r="F32" s="141"/>
      <c r="G32" s="109" t="s">
        <v>188</v>
      </c>
      <c r="H32" s="109" t="s">
        <v>188</v>
      </c>
      <c r="I32" s="109" t="s">
        <v>188</v>
      </c>
      <c r="J32" s="109" t="s">
        <v>188</v>
      </c>
      <c r="K32" s="141"/>
      <c r="L32" s="112">
        <v>77420</v>
      </c>
      <c r="M32" s="109" t="s">
        <v>188</v>
      </c>
      <c r="N32" s="112">
        <v>89083</v>
      </c>
      <c r="O32" s="112">
        <v>50479</v>
      </c>
      <c r="P32" s="141"/>
      <c r="Q32" s="112">
        <v>15800</v>
      </c>
      <c r="R32" s="109" t="s">
        <v>188</v>
      </c>
      <c r="S32" s="112">
        <v>16232</v>
      </c>
      <c r="T32" s="112">
        <v>15676</v>
      </c>
      <c r="U32" s="141"/>
      <c r="V32" s="112">
        <v>52470</v>
      </c>
      <c r="W32" s="109" t="s">
        <v>188</v>
      </c>
      <c r="X32" s="112">
        <v>57310</v>
      </c>
      <c r="Y32" s="112">
        <v>46662</v>
      </c>
      <c r="Z32" s="141"/>
      <c r="AA32" s="112">
        <v>31470</v>
      </c>
      <c r="AB32" s="109" t="s">
        <v>188</v>
      </c>
      <c r="AC32" s="112">
        <v>18441</v>
      </c>
      <c r="AD32" s="112">
        <v>36868</v>
      </c>
      <c r="AE32" s="141"/>
      <c r="AF32" s="81">
        <v>45150</v>
      </c>
      <c r="AG32" s="109" t="s">
        <v>188</v>
      </c>
      <c r="AH32" s="81">
        <v>46577</v>
      </c>
      <c r="AI32" s="81">
        <v>44384</v>
      </c>
      <c r="AJ32" s="141"/>
      <c r="AK32" s="126">
        <v>87870</v>
      </c>
      <c r="AL32" s="109" t="s">
        <v>188</v>
      </c>
      <c r="AM32" s="126">
        <v>73841</v>
      </c>
      <c r="AN32" s="126">
        <v>51663</v>
      </c>
      <c r="AO32" s="141"/>
      <c r="AP32" s="126">
        <v>79840</v>
      </c>
      <c r="AQ32" s="87" t="s">
        <v>188</v>
      </c>
      <c r="AR32" s="126">
        <v>57936</v>
      </c>
      <c r="AS32" s="126">
        <v>45418</v>
      </c>
      <c r="AT32" s="141"/>
      <c r="AU32" s="111">
        <v>26870</v>
      </c>
      <c r="AV32" s="130" t="s">
        <v>188</v>
      </c>
      <c r="AW32" s="111">
        <v>13594</v>
      </c>
      <c r="AX32" s="111">
        <v>39687</v>
      </c>
      <c r="AY32" s="139"/>
      <c r="AZ32" s="111">
        <v>21400</v>
      </c>
      <c r="BA32" s="111"/>
      <c r="BB32" s="111">
        <v>19758</v>
      </c>
      <c r="BC32" s="111">
        <v>17635</v>
      </c>
      <c r="BD32" s="139"/>
      <c r="BE32" s="111">
        <v>83200</v>
      </c>
      <c r="BF32" s="130" t="s">
        <v>188</v>
      </c>
      <c r="BG32" s="111">
        <v>54900</v>
      </c>
      <c r="BH32" s="111">
        <v>52317</v>
      </c>
    </row>
    <row r="33" spans="1:60" s="136" customFormat="1" ht="15" customHeight="1" x14ac:dyDescent="0.3">
      <c r="A33" s="116" t="s">
        <v>23</v>
      </c>
      <c r="B33" s="109" t="s">
        <v>188</v>
      </c>
      <c r="C33" s="85">
        <v>49765</v>
      </c>
      <c r="D33" s="85">
        <v>34886</v>
      </c>
      <c r="E33" s="85">
        <v>32538</v>
      </c>
      <c r="F33" s="141"/>
      <c r="G33" s="109" t="s">
        <v>188</v>
      </c>
      <c r="H33" s="109" t="s">
        <v>188</v>
      </c>
      <c r="I33" s="109" t="s">
        <v>188</v>
      </c>
      <c r="J33" s="109" t="s">
        <v>188</v>
      </c>
      <c r="K33" s="141"/>
      <c r="L33" s="109" t="s">
        <v>188</v>
      </c>
      <c r="M33" s="112">
        <v>36565</v>
      </c>
      <c r="N33" s="112">
        <v>37128</v>
      </c>
      <c r="O33" s="112">
        <v>32538</v>
      </c>
      <c r="P33" s="141"/>
      <c r="Q33" s="109" t="s">
        <v>188</v>
      </c>
      <c r="R33" s="112">
        <v>16180</v>
      </c>
      <c r="S33" s="112">
        <v>16232</v>
      </c>
      <c r="T33" s="112">
        <v>15676</v>
      </c>
      <c r="U33" s="141"/>
      <c r="V33" s="109" t="s">
        <v>188</v>
      </c>
      <c r="W33" s="112">
        <v>43299</v>
      </c>
      <c r="X33" s="112">
        <v>39928</v>
      </c>
      <c r="Y33" s="112">
        <v>32538</v>
      </c>
      <c r="Z33" s="141"/>
      <c r="AA33" s="112"/>
      <c r="AB33" s="81">
        <v>46814</v>
      </c>
      <c r="AC33" s="81">
        <v>28152</v>
      </c>
      <c r="AD33" s="81">
        <v>32538</v>
      </c>
      <c r="AE33" s="141"/>
      <c r="AF33" s="109" t="s">
        <v>188</v>
      </c>
      <c r="AG33" s="126">
        <v>39608</v>
      </c>
      <c r="AH33" s="126">
        <v>33342</v>
      </c>
      <c r="AI33" s="126">
        <v>32538</v>
      </c>
      <c r="AJ33" s="141"/>
      <c r="AK33" s="109" t="s">
        <v>188</v>
      </c>
      <c r="AL33" s="126">
        <v>57201</v>
      </c>
      <c r="AM33" s="126">
        <v>46595</v>
      </c>
      <c r="AN33" s="126">
        <v>32538</v>
      </c>
      <c r="AO33" s="141"/>
      <c r="AP33" s="87" t="s">
        <v>188</v>
      </c>
      <c r="AQ33" s="126">
        <v>51028</v>
      </c>
      <c r="AR33" s="126">
        <v>38504</v>
      </c>
      <c r="AS33" s="126">
        <v>32538</v>
      </c>
      <c r="AT33" s="141"/>
      <c r="AU33" s="111"/>
      <c r="AV33" s="111">
        <v>29505</v>
      </c>
      <c r="AW33" s="111">
        <v>16180</v>
      </c>
      <c r="AX33" s="111">
        <v>32538</v>
      </c>
      <c r="AY33" s="139"/>
      <c r="AZ33" s="111"/>
      <c r="BA33" s="111">
        <v>22560</v>
      </c>
      <c r="BB33" s="111">
        <v>19758</v>
      </c>
      <c r="BC33" s="111">
        <v>17635</v>
      </c>
      <c r="BD33" s="139"/>
      <c r="BE33" s="111"/>
      <c r="BF33" s="111">
        <v>47837</v>
      </c>
      <c r="BG33" s="111">
        <v>34886</v>
      </c>
      <c r="BH33" s="111">
        <v>32538</v>
      </c>
    </row>
    <row r="34" spans="1:60" s="90" customFormat="1" ht="15" customHeight="1" x14ac:dyDescent="0.3">
      <c r="A34" s="10"/>
      <c r="B34" s="83"/>
      <c r="C34" s="83"/>
      <c r="D34" s="83"/>
      <c r="E34" s="83"/>
      <c r="F34" s="80"/>
      <c r="G34" s="83"/>
      <c r="H34" s="83"/>
      <c r="I34" s="83"/>
      <c r="J34" s="83"/>
      <c r="K34" s="80"/>
      <c r="L34" s="83"/>
      <c r="M34" s="83"/>
      <c r="N34" s="83"/>
      <c r="O34" s="83"/>
      <c r="P34" s="80"/>
      <c r="Q34" s="83"/>
      <c r="R34" s="83"/>
      <c r="S34" s="83"/>
      <c r="T34" s="83"/>
      <c r="U34" s="80"/>
      <c r="V34" s="83"/>
      <c r="W34" s="83"/>
      <c r="X34" s="83"/>
      <c r="Y34" s="83"/>
      <c r="Z34" s="80"/>
      <c r="AA34" s="83"/>
      <c r="AB34" s="83"/>
      <c r="AC34" s="83"/>
      <c r="AD34" s="83"/>
      <c r="AE34" s="80"/>
      <c r="AF34" s="86"/>
      <c r="AG34" s="86"/>
      <c r="AH34" s="86"/>
      <c r="AI34" s="86"/>
      <c r="AJ34" s="82"/>
      <c r="AK34" s="86"/>
      <c r="AL34" s="86"/>
      <c r="AM34" s="86"/>
      <c r="AN34" s="86"/>
      <c r="AO34" s="82"/>
      <c r="AP34" s="86"/>
      <c r="AQ34" s="86"/>
      <c r="AR34" s="86"/>
      <c r="AS34" s="86"/>
      <c r="AT34" s="82"/>
      <c r="AU34" s="84"/>
      <c r="AV34" s="84"/>
      <c r="AW34" s="84"/>
      <c r="AX34" s="84"/>
      <c r="AY34" s="73"/>
      <c r="AZ34" s="84"/>
      <c r="BA34" s="84"/>
      <c r="BB34" s="84"/>
      <c r="BC34" s="84"/>
      <c r="BD34" s="73"/>
      <c r="BE34" s="78"/>
      <c r="BF34" s="78"/>
      <c r="BG34" s="78"/>
      <c r="BH34" s="78"/>
    </row>
    <row r="35" spans="1:60" s="91" customFormat="1" ht="43.5" customHeight="1" x14ac:dyDescent="0.3">
      <c r="A35" s="9" t="s">
        <v>37</v>
      </c>
      <c r="B35" s="356" t="s">
        <v>12</v>
      </c>
      <c r="C35" s="356"/>
      <c r="D35" s="28" t="s">
        <v>25</v>
      </c>
      <c r="E35" s="28" t="s">
        <v>10</v>
      </c>
      <c r="F35" s="29"/>
      <c r="G35" s="356" t="s">
        <v>12</v>
      </c>
      <c r="H35" s="356"/>
      <c r="I35" s="28" t="s">
        <v>25</v>
      </c>
      <c r="J35" s="28" t="s">
        <v>10</v>
      </c>
      <c r="K35" s="29"/>
      <c r="L35" s="356" t="s">
        <v>12</v>
      </c>
      <c r="M35" s="356"/>
      <c r="N35" s="28" t="s">
        <v>25</v>
      </c>
      <c r="O35" s="28" t="s">
        <v>10</v>
      </c>
      <c r="P35" s="29"/>
      <c r="Q35" s="356" t="s">
        <v>12</v>
      </c>
      <c r="R35" s="356"/>
      <c r="S35" s="28" t="s">
        <v>25</v>
      </c>
      <c r="T35" s="28" t="s">
        <v>10</v>
      </c>
      <c r="U35" s="29"/>
      <c r="V35" s="356" t="s">
        <v>12</v>
      </c>
      <c r="W35" s="356"/>
      <c r="X35" s="28" t="s">
        <v>25</v>
      </c>
      <c r="Y35" s="28" t="s">
        <v>10</v>
      </c>
      <c r="Z35" s="29"/>
      <c r="AA35" s="356" t="s">
        <v>12</v>
      </c>
      <c r="AB35" s="356"/>
      <c r="AC35" s="28" t="s">
        <v>25</v>
      </c>
      <c r="AD35" s="28" t="s">
        <v>10</v>
      </c>
      <c r="AE35" s="29"/>
      <c r="AF35" s="356" t="s">
        <v>12</v>
      </c>
      <c r="AG35" s="356"/>
      <c r="AH35" s="28" t="s">
        <v>25</v>
      </c>
      <c r="AI35" s="28" t="s">
        <v>10</v>
      </c>
      <c r="AJ35" s="30"/>
      <c r="AK35" s="356" t="s">
        <v>12</v>
      </c>
      <c r="AL35" s="356"/>
      <c r="AM35" s="28" t="s">
        <v>25</v>
      </c>
      <c r="AN35" s="28" t="s">
        <v>10</v>
      </c>
      <c r="AO35" s="30"/>
      <c r="AP35" s="356" t="s">
        <v>12</v>
      </c>
      <c r="AQ35" s="356"/>
      <c r="AR35" s="28" t="s">
        <v>25</v>
      </c>
      <c r="AS35" s="28" t="s">
        <v>10</v>
      </c>
      <c r="AT35" s="30"/>
      <c r="AU35" s="356" t="s">
        <v>12</v>
      </c>
      <c r="AV35" s="356"/>
      <c r="AW35" s="28" t="s">
        <v>25</v>
      </c>
      <c r="AX35" s="28" t="s">
        <v>10</v>
      </c>
      <c r="AY35" s="37"/>
      <c r="AZ35" s="356" t="s">
        <v>12</v>
      </c>
      <c r="BA35" s="356"/>
      <c r="BB35" s="28" t="s">
        <v>25</v>
      </c>
      <c r="BC35" s="28" t="s">
        <v>10</v>
      </c>
      <c r="BD35" s="37"/>
      <c r="BE35" s="356" t="s">
        <v>12</v>
      </c>
      <c r="BF35" s="356"/>
      <c r="BG35" s="28" t="s">
        <v>25</v>
      </c>
      <c r="BH35" s="28" t="s">
        <v>10</v>
      </c>
    </row>
    <row r="36" spans="1:60" s="91" customFormat="1" ht="26.25" customHeight="1" x14ac:dyDescent="0.3">
      <c r="A36" s="339"/>
      <c r="B36" s="359" t="s">
        <v>55</v>
      </c>
      <c r="C36" s="360"/>
      <c r="D36" s="31" t="s">
        <v>56</v>
      </c>
      <c r="E36" s="103">
        <v>8.7535369299999999E-2</v>
      </c>
      <c r="F36" s="51"/>
      <c r="G36" s="359" t="s">
        <v>58</v>
      </c>
      <c r="H36" s="360"/>
      <c r="I36" s="31" t="s">
        <v>59</v>
      </c>
      <c r="J36" s="103">
        <v>8.3590395299999995E-2</v>
      </c>
      <c r="K36" s="51"/>
      <c r="L36" s="55" t="s">
        <v>57</v>
      </c>
      <c r="M36" s="56"/>
      <c r="N36" s="31" t="s">
        <v>56</v>
      </c>
      <c r="O36" s="103">
        <v>0.20329310249999999</v>
      </c>
      <c r="P36" s="51"/>
      <c r="Q36" s="359" t="s">
        <v>58</v>
      </c>
      <c r="R36" s="360"/>
      <c r="S36" s="31" t="s">
        <v>59</v>
      </c>
      <c r="T36" s="103">
        <v>8.3563891500000001E-2</v>
      </c>
      <c r="U36" s="51"/>
      <c r="V36" s="361" t="s">
        <v>55</v>
      </c>
      <c r="W36" s="362"/>
      <c r="X36" s="31" t="s">
        <v>56</v>
      </c>
      <c r="Y36" s="105">
        <v>6.4677618399999998E-2</v>
      </c>
      <c r="Z36" s="51"/>
      <c r="AA36" s="359" t="s">
        <v>61</v>
      </c>
      <c r="AB36" s="360"/>
      <c r="AC36" s="31" t="s">
        <v>62</v>
      </c>
      <c r="AD36" s="103">
        <v>9.1356296599999998E-2</v>
      </c>
      <c r="AE36" s="51"/>
      <c r="AF36" s="359" t="s">
        <v>57</v>
      </c>
      <c r="AG36" s="360"/>
      <c r="AH36" s="31" t="s">
        <v>56</v>
      </c>
      <c r="AI36" s="103">
        <v>8.9957547099999993E-2</v>
      </c>
      <c r="AJ36" s="52"/>
      <c r="AK36" s="361" t="s">
        <v>142</v>
      </c>
      <c r="AL36" s="362"/>
      <c r="AM36" s="47" t="s">
        <v>59</v>
      </c>
      <c r="AN36" s="107">
        <v>3.9991127100000003E-2</v>
      </c>
      <c r="AO36" s="52"/>
      <c r="AP36" s="365" t="s">
        <v>55</v>
      </c>
      <c r="AQ36" s="366"/>
      <c r="AR36" s="31" t="s">
        <v>56</v>
      </c>
      <c r="AS36" s="103">
        <v>6.6101250400000006E-2</v>
      </c>
      <c r="AT36" s="52"/>
      <c r="AU36" s="359" t="s">
        <v>60</v>
      </c>
      <c r="AV36" s="360"/>
      <c r="AW36" s="31" t="s">
        <v>56</v>
      </c>
      <c r="AX36" s="103">
        <v>9.6885883000000006E-2</v>
      </c>
      <c r="AY36" s="57"/>
      <c r="AZ36" s="359" t="s">
        <v>173</v>
      </c>
      <c r="BA36" s="360"/>
      <c r="BB36" s="31" t="s">
        <v>81</v>
      </c>
      <c r="BC36" s="103">
        <v>4.6069067800000002E-2</v>
      </c>
      <c r="BD36" s="57"/>
      <c r="BE36" s="359" t="s">
        <v>55</v>
      </c>
      <c r="BF36" s="360"/>
      <c r="BG36" s="31" t="s">
        <v>56</v>
      </c>
      <c r="BH36" s="103">
        <v>8.7473875399999998E-2</v>
      </c>
    </row>
    <row r="37" spans="1:60" s="91" customFormat="1" ht="26.25" customHeight="1" x14ac:dyDescent="0.3">
      <c r="A37" s="339"/>
      <c r="B37" s="363" t="s">
        <v>57</v>
      </c>
      <c r="C37" s="364"/>
      <c r="D37" s="31" t="s">
        <v>56</v>
      </c>
      <c r="E37" s="103">
        <v>7.0920052999999997E-2</v>
      </c>
      <c r="F37" s="51"/>
      <c r="G37" s="363" t="s">
        <v>76</v>
      </c>
      <c r="H37" s="364"/>
      <c r="I37" s="31" t="s">
        <v>59</v>
      </c>
      <c r="J37" s="103">
        <v>5.6465727100000002E-2</v>
      </c>
      <c r="K37" s="51"/>
      <c r="L37" s="58" t="s">
        <v>55</v>
      </c>
      <c r="M37" s="59"/>
      <c r="N37" s="31" t="s">
        <v>56</v>
      </c>
      <c r="O37" s="103">
        <v>0.17428595120000001</v>
      </c>
      <c r="P37" s="51"/>
      <c r="Q37" s="363" t="s">
        <v>55</v>
      </c>
      <c r="R37" s="364"/>
      <c r="S37" s="31" t="s">
        <v>56</v>
      </c>
      <c r="T37" s="103">
        <v>7.9651254800000001E-2</v>
      </c>
      <c r="U37" s="51"/>
      <c r="V37" s="361" t="s">
        <v>57</v>
      </c>
      <c r="W37" s="362"/>
      <c r="X37" s="31" t="s">
        <v>56</v>
      </c>
      <c r="Y37" s="105">
        <v>5.5213276899999997E-2</v>
      </c>
      <c r="Z37" s="51"/>
      <c r="AA37" s="363" t="s">
        <v>122</v>
      </c>
      <c r="AB37" s="364"/>
      <c r="AC37" s="31" t="s">
        <v>123</v>
      </c>
      <c r="AD37" s="103">
        <v>4.6253199500000002E-2</v>
      </c>
      <c r="AE37" s="51"/>
      <c r="AF37" s="363" t="s">
        <v>55</v>
      </c>
      <c r="AG37" s="364"/>
      <c r="AH37" s="31" t="s">
        <v>56</v>
      </c>
      <c r="AI37" s="103">
        <v>8.8637299500000002E-2</v>
      </c>
      <c r="AJ37" s="52"/>
      <c r="AK37" s="361" t="s">
        <v>112</v>
      </c>
      <c r="AL37" s="362"/>
      <c r="AM37" s="47" t="s">
        <v>113</v>
      </c>
      <c r="AN37" s="107">
        <v>3.5966486200000002E-2</v>
      </c>
      <c r="AO37" s="52"/>
      <c r="AP37" s="365" t="s">
        <v>69</v>
      </c>
      <c r="AQ37" s="366"/>
      <c r="AR37" s="31" t="s">
        <v>56</v>
      </c>
      <c r="AS37" s="103">
        <v>4.5223401199999999E-2</v>
      </c>
      <c r="AT37" s="52"/>
      <c r="AU37" s="363" t="s">
        <v>161</v>
      </c>
      <c r="AV37" s="364"/>
      <c r="AW37" s="31" t="s">
        <v>123</v>
      </c>
      <c r="AX37" s="103">
        <v>9.4800175900000005E-2</v>
      </c>
      <c r="AY37" s="57"/>
      <c r="AZ37" s="363" t="s">
        <v>102</v>
      </c>
      <c r="BA37" s="364"/>
      <c r="BB37" s="31" t="s">
        <v>103</v>
      </c>
      <c r="BC37" s="103">
        <v>4.0583043499999999E-2</v>
      </c>
      <c r="BD37" s="57"/>
      <c r="BE37" s="363" t="s">
        <v>58</v>
      </c>
      <c r="BF37" s="364"/>
      <c r="BG37" s="31" t="s">
        <v>59</v>
      </c>
      <c r="BH37" s="103">
        <v>7.4540346899999999E-2</v>
      </c>
    </row>
    <row r="38" spans="1:60" s="91" customFormat="1" ht="28.5" customHeight="1" x14ac:dyDescent="0.3">
      <c r="A38" s="339"/>
      <c r="B38" s="363" t="s">
        <v>58</v>
      </c>
      <c r="C38" s="364"/>
      <c r="D38" s="31" t="s">
        <v>59</v>
      </c>
      <c r="E38" s="103">
        <v>6.2876006900000003E-2</v>
      </c>
      <c r="F38" s="51"/>
      <c r="G38" s="363" t="s">
        <v>77</v>
      </c>
      <c r="H38" s="364"/>
      <c r="I38" s="31" t="s">
        <v>56</v>
      </c>
      <c r="J38" s="103">
        <v>5.5352938999999997E-2</v>
      </c>
      <c r="K38" s="51"/>
      <c r="L38" s="363" t="s">
        <v>69</v>
      </c>
      <c r="M38" s="364"/>
      <c r="N38" s="31" t="s">
        <v>56</v>
      </c>
      <c r="O38" s="103">
        <v>8.7017350699999996E-2</v>
      </c>
      <c r="P38" s="51"/>
      <c r="Q38" s="363" t="s">
        <v>61</v>
      </c>
      <c r="R38" s="364"/>
      <c r="S38" s="31" t="s">
        <v>62</v>
      </c>
      <c r="T38" s="103">
        <v>7.6163859E-2</v>
      </c>
      <c r="U38" s="51"/>
      <c r="V38" s="361" t="s">
        <v>58</v>
      </c>
      <c r="W38" s="362"/>
      <c r="X38" s="31" t="s">
        <v>59</v>
      </c>
      <c r="Y38" s="105">
        <v>4.9551966500000003E-2</v>
      </c>
      <c r="Z38" s="51"/>
      <c r="AA38" s="363" t="s">
        <v>63</v>
      </c>
      <c r="AB38" s="364"/>
      <c r="AC38" s="31" t="s">
        <v>64</v>
      </c>
      <c r="AD38" s="103">
        <v>3.7878979E-2</v>
      </c>
      <c r="AE38" s="51"/>
      <c r="AF38" s="363" t="s">
        <v>58</v>
      </c>
      <c r="AG38" s="364"/>
      <c r="AH38" s="31" t="s">
        <v>59</v>
      </c>
      <c r="AI38" s="103">
        <v>8.3065074000000003E-2</v>
      </c>
      <c r="AJ38" s="52"/>
      <c r="AK38" s="361" t="s">
        <v>143</v>
      </c>
      <c r="AL38" s="362"/>
      <c r="AM38" s="47" t="s">
        <v>113</v>
      </c>
      <c r="AN38" s="107">
        <v>3.3861359299999998E-2</v>
      </c>
      <c r="AO38" s="52"/>
      <c r="AP38" s="365" t="s">
        <v>60</v>
      </c>
      <c r="AQ38" s="366"/>
      <c r="AR38" s="31" t="s">
        <v>56</v>
      </c>
      <c r="AS38" s="103">
        <v>3.3317211100000001E-2</v>
      </c>
      <c r="AT38" s="52"/>
      <c r="AU38" s="363" t="s">
        <v>132</v>
      </c>
      <c r="AV38" s="364"/>
      <c r="AW38" s="31" t="s">
        <v>103</v>
      </c>
      <c r="AX38" s="103">
        <v>6.9199530600000003E-2</v>
      </c>
      <c r="AY38" s="57"/>
      <c r="AZ38" s="363" t="s">
        <v>174</v>
      </c>
      <c r="BA38" s="364"/>
      <c r="BB38" s="31" t="s">
        <v>123</v>
      </c>
      <c r="BC38" s="103">
        <v>3.50313493E-2</v>
      </c>
      <c r="BD38" s="57"/>
      <c r="BE38" s="363" t="s">
        <v>57</v>
      </c>
      <c r="BF38" s="364"/>
      <c r="BG38" s="31" t="s">
        <v>56</v>
      </c>
      <c r="BH38" s="103">
        <v>7.4326212500000002E-2</v>
      </c>
    </row>
    <row r="39" spans="1:60" s="91" customFormat="1" ht="26.25" customHeight="1" x14ac:dyDescent="0.3">
      <c r="A39" s="339"/>
      <c r="B39" s="363" t="s">
        <v>60</v>
      </c>
      <c r="C39" s="364"/>
      <c r="D39" s="31" t="s">
        <v>56</v>
      </c>
      <c r="E39" s="103">
        <v>4.8844350299999999E-2</v>
      </c>
      <c r="F39" s="51"/>
      <c r="G39" s="363" t="s">
        <v>55</v>
      </c>
      <c r="H39" s="364"/>
      <c r="I39" s="31" t="s">
        <v>56</v>
      </c>
      <c r="J39" s="103">
        <v>5.0873991600000001E-2</v>
      </c>
      <c r="K39" s="51"/>
      <c r="L39" s="363" t="s">
        <v>60</v>
      </c>
      <c r="M39" s="364"/>
      <c r="N39" s="31" t="s">
        <v>56</v>
      </c>
      <c r="O39" s="103">
        <v>7.7317546099999995E-2</v>
      </c>
      <c r="P39" s="51"/>
      <c r="Q39" s="363" t="s">
        <v>60</v>
      </c>
      <c r="R39" s="364"/>
      <c r="S39" s="31" t="s">
        <v>56</v>
      </c>
      <c r="T39" s="103">
        <v>6.20802934E-2</v>
      </c>
      <c r="U39" s="51"/>
      <c r="V39" s="361" t="s">
        <v>63</v>
      </c>
      <c r="W39" s="362"/>
      <c r="X39" s="31" t="s">
        <v>64</v>
      </c>
      <c r="Y39" s="105">
        <v>3.8628431099999999E-2</v>
      </c>
      <c r="Z39" s="51"/>
      <c r="AA39" s="363" t="s">
        <v>124</v>
      </c>
      <c r="AB39" s="364"/>
      <c r="AC39" s="31" t="s">
        <v>125</v>
      </c>
      <c r="AD39" s="103">
        <v>3.7411567799999997E-2</v>
      </c>
      <c r="AE39" s="51"/>
      <c r="AF39" s="363" t="s">
        <v>63</v>
      </c>
      <c r="AG39" s="364"/>
      <c r="AH39" s="31" t="s">
        <v>64</v>
      </c>
      <c r="AI39" s="103">
        <v>6.9723058500000004E-2</v>
      </c>
      <c r="AJ39" s="52"/>
      <c r="AK39" s="361" t="s">
        <v>144</v>
      </c>
      <c r="AL39" s="362"/>
      <c r="AM39" s="47" t="s">
        <v>83</v>
      </c>
      <c r="AN39" s="107">
        <v>3.3654032399999999E-2</v>
      </c>
      <c r="AO39" s="52"/>
      <c r="AP39" s="365" t="s">
        <v>61</v>
      </c>
      <c r="AQ39" s="366"/>
      <c r="AR39" s="31" t="s">
        <v>62</v>
      </c>
      <c r="AS39" s="103">
        <v>3.1873963399999997E-2</v>
      </c>
      <c r="AT39" s="52"/>
      <c r="AU39" s="363" t="s">
        <v>162</v>
      </c>
      <c r="AV39" s="364"/>
      <c r="AW39" s="31" t="s">
        <v>64</v>
      </c>
      <c r="AX39" s="103">
        <v>6.1563544800000002E-2</v>
      </c>
      <c r="AY39" s="57"/>
      <c r="AZ39" s="363" t="s">
        <v>175</v>
      </c>
      <c r="BA39" s="364"/>
      <c r="BB39" s="31" t="s">
        <v>176</v>
      </c>
      <c r="BC39" s="103">
        <v>3.3277702499999999E-2</v>
      </c>
      <c r="BD39" s="57"/>
      <c r="BE39" s="363" t="s">
        <v>69</v>
      </c>
      <c r="BF39" s="364"/>
      <c r="BG39" s="31" t="s">
        <v>56</v>
      </c>
      <c r="BH39" s="103">
        <v>4.7625575699999999E-2</v>
      </c>
    </row>
    <row r="40" spans="1:60" s="91" customFormat="1" ht="35.25" customHeight="1" x14ac:dyDescent="0.3">
      <c r="A40" s="339"/>
      <c r="B40" s="363" t="s">
        <v>61</v>
      </c>
      <c r="C40" s="364"/>
      <c r="D40" s="31" t="s">
        <v>62</v>
      </c>
      <c r="E40" s="103">
        <v>4.0251288400000002E-2</v>
      </c>
      <c r="F40" s="51"/>
      <c r="G40" s="363" t="s">
        <v>57</v>
      </c>
      <c r="H40" s="364"/>
      <c r="I40" s="31" t="s">
        <v>56</v>
      </c>
      <c r="J40" s="103">
        <v>4.8295818099999999E-2</v>
      </c>
      <c r="K40" s="51"/>
      <c r="L40" s="363" t="s">
        <v>77</v>
      </c>
      <c r="M40" s="364"/>
      <c r="N40" s="31" t="s">
        <v>56</v>
      </c>
      <c r="O40" s="103">
        <v>5.9870972100000003E-2</v>
      </c>
      <c r="P40" s="51"/>
      <c r="Q40" s="363" t="s">
        <v>57</v>
      </c>
      <c r="R40" s="364"/>
      <c r="S40" s="31" t="s">
        <v>56</v>
      </c>
      <c r="T40" s="103">
        <v>5.9962696400000001E-2</v>
      </c>
      <c r="U40" s="51"/>
      <c r="V40" s="361" t="s">
        <v>112</v>
      </c>
      <c r="W40" s="362"/>
      <c r="X40" s="31" t="s">
        <v>113</v>
      </c>
      <c r="Y40" s="105">
        <v>3.5027511999999997E-2</v>
      </c>
      <c r="Z40" s="51"/>
      <c r="AA40" s="363" t="s">
        <v>126</v>
      </c>
      <c r="AB40" s="364"/>
      <c r="AC40" s="31" t="s">
        <v>127</v>
      </c>
      <c r="AD40" s="103">
        <v>3.7371824200000001E-2</v>
      </c>
      <c r="AE40" s="51"/>
      <c r="AF40" s="363" t="s">
        <v>77</v>
      </c>
      <c r="AG40" s="364"/>
      <c r="AH40" s="31" t="s">
        <v>56</v>
      </c>
      <c r="AI40" s="103">
        <v>5.7007692899999997E-2</v>
      </c>
      <c r="AJ40" s="52"/>
      <c r="AK40" s="361" t="s">
        <v>145</v>
      </c>
      <c r="AL40" s="362"/>
      <c r="AM40" s="47" t="s">
        <v>105</v>
      </c>
      <c r="AN40" s="107">
        <v>2.86265281E-2</v>
      </c>
      <c r="AO40" s="52"/>
      <c r="AP40" s="365" t="s">
        <v>112</v>
      </c>
      <c r="AQ40" s="366"/>
      <c r="AR40" s="54" t="s">
        <v>113</v>
      </c>
      <c r="AS40" s="103">
        <v>3.1115602400000001E-2</v>
      </c>
      <c r="AT40" s="52"/>
      <c r="AU40" s="363" t="s">
        <v>149</v>
      </c>
      <c r="AV40" s="364"/>
      <c r="AW40" s="54" t="s">
        <v>150</v>
      </c>
      <c r="AX40" s="103">
        <v>6.0271274999999999E-2</v>
      </c>
      <c r="AY40" s="57"/>
      <c r="AZ40" s="363" t="s">
        <v>156</v>
      </c>
      <c r="BA40" s="364"/>
      <c r="BB40" s="54" t="s">
        <v>66</v>
      </c>
      <c r="BC40" s="103">
        <v>3.2969290700000001E-2</v>
      </c>
      <c r="BD40" s="57"/>
      <c r="BE40" s="363" t="s">
        <v>77</v>
      </c>
      <c r="BF40" s="364"/>
      <c r="BG40" s="54" t="s">
        <v>56</v>
      </c>
      <c r="BH40" s="103">
        <v>4.6060725499999997E-2</v>
      </c>
    </row>
    <row r="41" spans="1:60" s="91" customFormat="1" ht="26.25" customHeight="1" x14ac:dyDescent="0.3">
      <c r="A41" s="339"/>
      <c r="B41" s="363" t="s">
        <v>63</v>
      </c>
      <c r="C41" s="364"/>
      <c r="D41" s="31" t="s">
        <v>187</v>
      </c>
      <c r="E41" s="103">
        <v>3.7064804399999998E-2</v>
      </c>
      <c r="F41" s="51"/>
      <c r="G41" s="363" t="s">
        <v>69</v>
      </c>
      <c r="H41" s="364"/>
      <c r="I41" s="31" t="s">
        <v>56</v>
      </c>
      <c r="J41" s="103">
        <v>4.2142224399999997E-2</v>
      </c>
      <c r="K41" s="51"/>
      <c r="L41" s="363" t="s">
        <v>78</v>
      </c>
      <c r="M41" s="364"/>
      <c r="N41" s="31" t="s">
        <v>79</v>
      </c>
      <c r="O41" s="103">
        <v>4.05841854E-2</v>
      </c>
      <c r="P41" s="51"/>
      <c r="Q41" s="363" t="s">
        <v>70</v>
      </c>
      <c r="R41" s="364"/>
      <c r="S41" s="31" t="s">
        <v>59</v>
      </c>
      <c r="T41" s="103">
        <v>5.8196947200000002E-2</v>
      </c>
      <c r="U41" s="51"/>
      <c r="V41" s="361" t="s">
        <v>69</v>
      </c>
      <c r="W41" s="362"/>
      <c r="X41" s="31" t="s">
        <v>56</v>
      </c>
      <c r="Y41" s="105">
        <v>3.1756895399999999E-2</v>
      </c>
      <c r="Z41" s="51"/>
      <c r="AA41" s="363" t="s">
        <v>128</v>
      </c>
      <c r="AB41" s="364"/>
      <c r="AC41" s="31" t="s">
        <v>129</v>
      </c>
      <c r="AD41" s="103">
        <v>3.6559824300000002E-2</v>
      </c>
      <c r="AE41" s="51"/>
      <c r="AF41" s="363" t="s">
        <v>61</v>
      </c>
      <c r="AG41" s="364"/>
      <c r="AH41" s="31" t="s">
        <v>62</v>
      </c>
      <c r="AI41" s="103">
        <v>5.6671466900000002E-2</v>
      </c>
      <c r="AJ41" s="52"/>
      <c r="AK41" s="361" t="s">
        <v>146</v>
      </c>
      <c r="AL41" s="362"/>
      <c r="AM41" s="47" t="s">
        <v>79</v>
      </c>
      <c r="AN41" s="107">
        <v>2.7853205400000001E-2</v>
      </c>
      <c r="AO41" s="52"/>
      <c r="AP41" s="365" t="s">
        <v>70</v>
      </c>
      <c r="AQ41" s="366"/>
      <c r="AR41" s="31" t="s">
        <v>59</v>
      </c>
      <c r="AS41" s="103">
        <v>3.04835171E-2</v>
      </c>
      <c r="AT41" s="52"/>
      <c r="AU41" s="363" t="s">
        <v>93</v>
      </c>
      <c r="AV41" s="364"/>
      <c r="AW41" s="31" t="s">
        <v>94</v>
      </c>
      <c r="AX41" s="103">
        <v>5.28918601E-2</v>
      </c>
      <c r="AY41" s="57"/>
      <c r="AZ41" s="363" t="s">
        <v>177</v>
      </c>
      <c r="BA41" s="364"/>
      <c r="BB41" s="31" t="s">
        <v>83</v>
      </c>
      <c r="BC41" s="103">
        <v>3.1116372600000001E-2</v>
      </c>
      <c r="BD41" s="57"/>
      <c r="BE41" s="363" t="s">
        <v>63</v>
      </c>
      <c r="BF41" s="364"/>
      <c r="BG41" s="31" t="s">
        <v>64</v>
      </c>
      <c r="BH41" s="103">
        <v>4.5001707000000002E-2</v>
      </c>
    </row>
    <row r="42" spans="1:60" s="91" customFormat="1" ht="26.25" customHeight="1" x14ac:dyDescent="0.3">
      <c r="A42" s="339"/>
      <c r="B42" s="363" t="s">
        <v>65</v>
      </c>
      <c r="C42" s="364"/>
      <c r="D42" s="31" t="s">
        <v>66</v>
      </c>
      <c r="E42" s="103">
        <v>3.5586844300000003E-2</v>
      </c>
      <c r="F42" s="51"/>
      <c r="G42" s="363" t="s">
        <v>78</v>
      </c>
      <c r="H42" s="364"/>
      <c r="I42" s="31" t="s">
        <v>79</v>
      </c>
      <c r="J42" s="103">
        <v>3.4437400999999999E-2</v>
      </c>
      <c r="K42" s="51"/>
      <c r="L42" s="363" t="s">
        <v>91</v>
      </c>
      <c r="M42" s="364"/>
      <c r="N42" s="31" t="s">
        <v>92</v>
      </c>
      <c r="O42" s="103">
        <v>3.6949606900000001E-2</v>
      </c>
      <c r="P42" s="51"/>
      <c r="Q42" s="363" t="s">
        <v>102</v>
      </c>
      <c r="R42" s="364"/>
      <c r="S42" s="31" t="s">
        <v>103</v>
      </c>
      <c r="T42" s="103">
        <v>5.3907678100000002E-2</v>
      </c>
      <c r="U42" s="51"/>
      <c r="V42" s="361" t="s">
        <v>60</v>
      </c>
      <c r="W42" s="362"/>
      <c r="X42" s="31" t="s">
        <v>56</v>
      </c>
      <c r="Y42" s="105">
        <v>3.0676256900000001E-2</v>
      </c>
      <c r="Z42" s="51"/>
      <c r="AA42" s="363" t="s">
        <v>130</v>
      </c>
      <c r="AB42" s="364"/>
      <c r="AC42" s="31" t="s">
        <v>125</v>
      </c>
      <c r="AD42" s="103">
        <v>3.5626330900000003E-2</v>
      </c>
      <c r="AE42" s="51"/>
      <c r="AF42" s="363" t="s">
        <v>69</v>
      </c>
      <c r="AG42" s="364"/>
      <c r="AH42" s="31" t="s">
        <v>56</v>
      </c>
      <c r="AI42" s="103">
        <v>4.4393597100000001E-2</v>
      </c>
      <c r="AJ42" s="52"/>
      <c r="AK42" s="361" t="s">
        <v>147</v>
      </c>
      <c r="AL42" s="362"/>
      <c r="AM42" s="47" t="s">
        <v>59</v>
      </c>
      <c r="AN42" s="107">
        <v>2.7558689000000001E-2</v>
      </c>
      <c r="AO42" s="52"/>
      <c r="AP42" s="365" t="s">
        <v>147</v>
      </c>
      <c r="AQ42" s="366"/>
      <c r="AR42" s="31" t="s">
        <v>59</v>
      </c>
      <c r="AS42" s="103">
        <v>2.8316745399999999E-2</v>
      </c>
      <c r="AT42" s="52"/>
      <c r="AU42" s="363" t="s">
        <v>163</v>
      </c>
      <c r="AV42" s="364"/>
      <c r="AW42" s="31" t="s">
        <v>64</v>
      </c>
      <c r="AX42" s="103">
        <v>5.1059708099999997E-2</v>
      </c>
      <c r="AY42" s="57"/>
      <c r="AZ42" s="363" t="s">
        <v>178</v>
      </c>
      <c r="BA42" s="364"/>
      <c r="BB42" s="31" t="s">
        <v>179</v>
      </c>
      <c r="BC42" s="103">
        <v>3.0362329399999999E-2</v>
      </c>
      <c r="BD42" s="57"/>
      <c r="BE42" s="363" t="s">
        <v>70</v>
      </c>
      <c r="BF42" s="364"/>
      <c r="BG42" s="31" t="s">
        <v>59</v>
      </c>
      <c r="BH42" s="103">
        <v>3.04500584E-2</v>
      </c>
    </row>
    <row r="43" spans="1:60" s="91" customFormat="1" ht="26.25" customHeight="1" x14ac:dyDescent="0.3">
      <c r="A43" s="339"/>
      <c r="B43" s="363" t="s">
        <v>67</v>
      </c>
      <c r="C43" s="364"/>
      <c r="D43" s="31" t="s">
        <v>68</v>
      </c>
      <c r="E43" s="103">
        <v>3.4886584399999997E-2</v>
      </c>
      <c r="F43" s="51"/>
      <c r="G43" s="363" t="s">
        <v>80</v>
      </c>
      <c r="H43" s="364"/>
      <c r="I43" s="31" t="s">
        <v>81</v>
      </c>
      <c r="J43" s="103">
        <v>3.2874026899999999E-2</v>
      </c>
      <c r="K43" s="51"/>
      <c r="L43" s="363" t="s">
        <v>93</v>
      </c>
      <c r="M43" s="364"/>
      <c r="N43" s="31" t="s">
        <v>94</v>
      </c>
      <c r="O43" s="103">
        <v>3.3006382100000002E-2</v>
      </c>
      <c r="P43" s="51"/>
      <c r="Q43" s="363" t="s">
        <v>104</v>
      </c>
      <c r="R43" s="364"/>
      <c r="S43" s="31" t="s">
        <v>105</v>
      </c>
      <c r="T43" s="103">
        <v>5.3405013299999998E-2</v>
      </c>
      <c r="U43" s="51"/>
      <c r="V43" s="361" t="s">
        <v>61</v>
      </c>
      <c r="W43" s="362"/>
      <c r="X43" s="31" t="s">
        <v>62</v>
      </c>
      <c r="Y43" s="105">
        <v>2.8640335100000001E-2</v>
      </c>
      <c r="Z43" s="51"/>
      <c r="AA43" s="363" t="s">
        <v>131</v>
      </c>
      <c r="AB43" s="364"/>
      <c r="AC43" s="31" t="s">
        <v>125</v>
      </c>
      <c r="AD43" s="103">
        <v>3.5617611299999997E-2</v>
      </c>
      <c r="AE43" s="51"/>
      <c r="AF43" s="363" t="s">
        <v>60</v>
      </c>
      <c r="AG43" s="364"/>
      <c r="AH43" s="31" t="s">
        <v>56</v>
      </c>
      <c r="AI43" s="103">
        <v>4.07220316E-2</v>
      </c>
      <c r="AJ43" s="52"/>
      <c r="AK43" s="361" t="s">
        <v>148</v>
      </c>
      <c r="AL43" s="362"/>
      <c r="AM43" s="47" t="s">
        <v>113</v>
      </c>
      <c r="AN43" s="107">
        <v>2.6441321800000001E-2</v>
      </c>
      <c r="AO43" s="52"/>
      <c r="AP43" s="365" t="s">
        <v>155</v>
      </c>
      <c r="AQ43" s="366"/>
      <c r="AR43" s="31" t="s">
        <v>59</v>
      </c>
      <c r="AS43" s="103">
        <v>2.5320799099999999E-2</v>
      </c>
      <c r="AT43" s="52"/>
      <c r="AU43" s="363" t="s">
        <v>164</v>
      </c>
      <c r="AV43" s="364"/>
      <c r="AW43" s="31" t="s">
        <v>79</v>
      </c>
      <c r="AX43" s="103">
        <v>4.89836232E-2</v>
      </c>
      <c r="AY43" s="57"/>
      <c r="AZ43" s="363" t="s">
        <v>142</v>
      </c>
      <c r="BA43" s="364"/>
      <c r="BB43" s="31" t="s">
        <v>59</v>
      </c>
      <c r="BC43" s="103">
        <v>2.98565893E-2</v>
      </c>
      <c r="BD43" s="57"/>
      <c r="BE43" s="363" t="s">
        <v>78</v>
      </c>
      <c r="BF43" s="364"/>
      <c r="BG43" s="31" t="s">
        <v>79</v>
      </c>
      <c r="BH43" s="103">
        <v>2.8785195900000001E-2</v>
      </c>
    </row>
    <row r="44" spans="1:60" s="91" customFormat="1" ht="26.25" customHeight="1" x14ac:dyDescent="0.3">
      <c r="A44" s="339"/>
      <c r="B44" s="363" t="s">
        <v>69</v>
      </c>
      <c r="C44" s="364"/>
      <c r="D44" s="31" t="s">
        <v>56</v>
      </c>
      <c r="E44" s="103">
        <v>3.35013937E-2</v>
      </c>
      <c r="F44" s="51"/>
      <c r="G44" s="363" t="s">
        <v>82</v>
      </c>
      <c r="H44" s="364"/>
      <c r="I44" s="31" t="s">
        <v>83</v>
      </c>
      <c r="J44" s="103">
        <v>3.1965647100000001E-2</v>
      </c>
      <c r="K44" s="51"/>
      <c r="L44" s="363" t="s">
        <v>95</v>
      </c>
      <c r="M44" s="364"/>
      <c r="N44" s="31" t="s">
        <v>79</v>
      </c>
      <c r="O44" s="103">
        <v>3.01710551E-2</v>
      </c>
      <c r="P44" s="51"/>
      <c r="Q44" s="363" t="s">
        <v>106</v>
      </c>
      <c r="R44" s="364"/>
      <c r="S44" s="31" t="s">
        <v>68</v>
      </c>
      <c r="T44" s="103">
        <v>4.69617492E-2</v>
      </c>
      <c r="U44" s="51"/>
      <c r="V44" s="361" t="s">
        <v>114</v>
      </c>
      <c r="W44" s="362"/>
      <c r="X44" s="31" t="s">
        <v>115</v>
      </c>
      <c r="Y44" s="105">
        <v>2.7287121399999999E-2</v>
      </c>
      <c r="Z44" s="51"/>
      <c r="AA44" s="363" t="s">
        <v>132</v>
      </c>
      <c r="AB44" s="364"/>
      <c r="AC44" s="31" t="s">
        <v>103</v>
      </c>
      <c r="AD44" s="103">
        <v>3.5298888100000002E-2</v>
      </c>
      <c r="AE44" s="51"/>
      <c r="AF44" s="363" t="s">
        <v>70</v>
      </c>
      <c r="AG44" s="364"/>
      <c r="AH44" s="31" t="s">
        <v>59</v>
      </c>
      <c r="AI44" s="103">
        <v>4.0320149800000003E-2</v>
      </c>
      <c r="AJ44" s="52"/>
      <c r="AK44" s="361" t="s">
        <v>149</v>
      </c>
      <c r="AL44" s="362"/>
      <c r="AM44" s="47" t="s">
        <v>150</v>
      </c>
      <c r="AN44" s="107">
        <v>2.6408121699999999E-2</v>
      </c>
      <c r="AO44" s="52"/>
      <c r="AP44" s="365" t="s">
        <v>156</v>
      </c>
      <c r="AQ44" s="366"/>
      <c r="AR44" s="31" t="s">
        <v>66</v>
      </c>
      <c r="AS44" s="103">
        <v>2.4692018100000001E-2</v>
      </c>
      <c r="AT44" s="52"/>
      <c r="AU44" s="363" t="s">
        <v>165</v>
      </c>
      <c r="AV44" s="364"/>
      <c r="AW44" s="31" t="s">
        <v>166</v>
      </c>
      <c r="AX44" s="103">
        <v>4.60686493E-2</v>
      </c>
      <c r="AY44" s="57"/>
      <c r="AZ44" s="363" t="s">
        <v>180</v>
      </c>
      <c r="BA44" s="364"/>
      <c r="BB44" s="31" t="s">
        <v>113</v>
      </c>
      <c r="BC44" s="103">
        <v>2.93383662E-2</v>
      </c>
      <c r="BD44" s="57"/>
      <c r="BE44" s="363" t="s">
        <v>186</v>
      </c>
      <c r="BF44" s="364"/>
      <c r="BG44" s="31" t="s">
        <v>59</v>
      </c>
      <c r="BH44" s="103">
        <v>2.6396294800000001E-2</v>
      </c>
    </row>
    <row r="45" spans="1:60" s="91" customFormat="1" ht="26.25" customHeight="1" x14ac:dyDescent="0.3">
      <c r="A45" s="339"/>
      <c r="B45" s="363" t="s">
        <v>70</v>
      </c>
      <c r="C45" s="364"/>
      <c r="D45" s="31" t="s">
        <v>59</v>
      </c>
      <c r="E45" s="103">
        <v>2.9842264399999999E-2</v>
      </c>
      <c r="F45" s="51"/>
      <c r="G45" s="363" t="s">
        <v>84</v>
      </c>
      <c r="H45" s="364"/>
      <c r="I45" s="31" t="s">
        <v>68</v>
      </c>
      <c r="J45" s="103">
        <v>3.0657419700000001E-2</v>
      </c>
      <c r="K45" s="51"/>
      <c r="L45" s="363" t="s">
        <v>96</v>
      </c>
      <c r="M45" s="364"/>
      <c r="N45" s="31" t="s">
        <v>92</v>
      </c>
      <c r="O45" s="103">
        <v>2.8652372700000001E-2</v>
      </c>
      <c r="P45" s="51"/>
      <c r="Q45" s="363" t="s">
        <v>77</v>
      </c>
      <c r="R45" s="364"/>
      <c r="S45" s="31" t="s">
        <v>56</v>
      </c>
      <c r="T45" s="103">
        <v>4.6395784099999997E-2</v>
      </c>
      <c r="U45" s="51"/>
      <c r="V45" s="361" t="s">
        <v>78</v>
      </c>
      <c r="W45" s="362"/>
      <c r="X45" s="31" t="s">
        <v>79</v>
      </c>
      <c r="Y45" s="105">
        <v>2.6927993399999999E-2</v>
      </c>
      <c r="Z45" s="51"/>
      <c r="AA45" s="363" t="s">
        <v>65</v>
      </c>
      <c r="AB45" s="364"/>
      <c r="AC45" s="31" t="s">
        <v>66</v>
      </c>
      <c r="AD45" s="103">
        <v>3.2634934400000003E-2</v>
      </c>
      <c r="AE45" s="51"/>
      <c r="AF45" s="363" t="s">
        <v>126</v>
      </c>
      <c r="AG45" s="364"/>
      <c r="AH45" s="31" t="s">
        <v>127</v>
      </c>
      <c r="AI45" s="103">
        <v>3.7654450899999997E-2</v>
      </c>
      <c r="AJ45" s="52"/>
      <c r="AK45" s="361" t="s">
        <v>114</v>
      </c>
      <c r="AL45" s="362"/>
      <c r="AM45" s="47" t="s">
        <v>115</v>
      </c>
      <c r="AN45" s="107">
        <v>2.4960468199999999E-2</v>
      </c>
      <c r="AO45" s="52"/>
      <c r="AP45" s="365" t="s">
        <v>132</v>
      </c>
      <c r="AQ45" s="366"/>
      <c r="AR45" s="31" t="s">
        <v>103</v>
      </c>
      <c r="AS45" s="103">
        <v>2.40166032E-2</v>
      </c>
      <c r="AT45" s="52"/>
      <c r="AU45" s="363" t="s">
        <v>167</v>
      </c>
      <c r="AV45" s="364"/>
      <c r="AW45" s="31" t="s">
        <v>79</v>
      </c>
      <c r="AX45" s="103">
        <v>4.5452828399999999E-2</v>
      </c>
      <c r="AY45" s="57"/>
      <c r="AZ45" s="363" t="s">
        <v>181</v>
      </c>
      <c r="BA45" s="364"/>
      <c r="BB45" s="31" t="s">
        <v>182</v>
      </c>
      <c r="BC45" s="103">
        <v>2.8205020800000001E-2</v>
      </c>
      <c r="BD45" s="57"/>
      <c r="BE45" s="363" t="s">
        <v>177</v>
      </c>
      <c r="BF45" s="364"/>
      <c r="BG45" s="31" t="s">
        <v>83</v>
      </c>
      <c r="BH45" s="103">
        <v>2.4134782699999999E-2</v>
      </c>
    </row>
    <row r="46" spans="1:60" s="92" customFormat="1" x14ac:dyDescent="0.3">
      <c r="A46" s="60"/>
      <c r="B46" s="367" t="s">
        <v>5</v>
      </c>
      <c r="C46" s="367"/>
      <c r="D46" s="367"/>
      <c r="E46" s="104">
        <f>SUM(E36:E45)</f>
        <v>0.48130895909999988</v>
      </c>
      <c r="F46" s="61"/>
      <c r="G46" s="367" t="s">
        <v>5</v>
      </c>
      <c r="H46" s="367"/>
      <c r="I46" s="367"/>
      <c r="J46" s="104">
        <f>SUM(J36:J45)</f>
        <v>0.46665559019999997</v>
      </c>
      <c r="K46" s="61"/>
      <c r="L46" s="367" t="s">
        <v>5</v>
      </c>
      <c r="M46" s="367"/>
      <c r="N46" s="367"/>
      <c r="O46" s="104">
        <f>SUM(O36:O45)</f>
        <v>0.77114852479999996</v>
      </c>
      <c r="P46" s="61"/>
      <c r="Q46" s="367" t="s">
        <v>5</v>
      </c>
      <c r="R46" s="367"/>
      <c r="S46" s="367"/>
      <c r="T46" s="104">
        <f>SUM(T36:T45)</f>
        <v>0.62028916700000003</v>
      </c>
      <c r="U46" s="61"/>
      <c r="V46" s="367" t="s">
        <v>5</v>
      </c>
      <c r="W46" s="367"/>
      <c r="X46" s="367"/>
      <c r="Y46" s="106">
        <f>SUM(Y36:Y45)</f>
        <v>0.38838740710000003</v>
      </c>
      <c r="Z46" s="61"/>
      <c r="AA46" s="367" t="s">
        <v>5</v>
      </c>
      <c r="AB46" s="367"/>
      <c r="AC46" s="367"/>
      <c r="AD46" s="104">
        <f>SUM(AD36:AD45)</f>
        <v>0.42600945609999996</v>
      </c>
      <c r="AE46" s="61"/>
      <c r="AF46" s="367" t="s">
        <v>5</v>
      </c>
      <c r="AG46" s="367"/>
      <c r="AH46" s="367"/>
      <c r="AI46" s="104">
        <f>SUM(AI36:AI45)</f>
        <v>0.60815236829999997</v>
      </c>
      <c r="AJ46" s="62"/>
      <c r="AK46" s="367" t="s">
        <v>5</v>
      </c>
      <c r="AL46" s="367"/>
      <c r="AM46" s="367"/>
      <c r="AN46" s="104">
        <f>SUM(AN36:AN45)</f>
        <v>0.30532133919999999</v>
      </c>
      <c r="AO46" s="62"/>
      <c r="AP46" s="367" t="s">
        <v>5</v>
      </c>
      <c r="AQ46" s="367"/>
      <c r="AR46" s="367"/>
      <c r="AS46" s="104">
        <f>SUM(AS36:AS45)</f>
        <v>0.34046111139999996</v>
      </c>
      <c r="AT46" s="62"/>
      <c r="AU46" s="367" t="s">
        <v>5</v>
      </c>
      <c r="AV46" s="367"/>
      <c r="AW46" s="367"/>
      <c r="AX46" s="104">
        <f>SUM(AX36:AX45)</f>
        <v>0.62717707840000003</v>
      </c>
      <c r="AY46" s="53"/>
      <c r="AZ46" s="367" t="s">
        <v>5</v>
      </c>
      <c r="BA46" s="367"/>
      <c r="BB46" s="367"/>
      <c r="BC46" s="104">
        <f>SUM(BC36:BC45)</f>
        <v>0.33680913210000002</v>
      </c>
      <c r="BD46" s="53"/>
      <c r="BE46" s="367" t="s">
        <v>5</v>
      </c>
      <c r="BF46" s="367"/>
      <c r="BG46" s="367"/>
      <c r="BH46" s="108">
        <f>SUM(BH36:BH45)</f>
        <v>0.48479477479999999</v>
      </c>
    </row>
    <row r="47" spans="1:60" s="88" customFormat="1" x14ac:dyDescent="0.3">
      <c r="A47" s="4"/>
      <c r="B47" s="345"/>
      <c r="C47" s="345"/>
      <c r="D47" s="345"/>
      <c r="E47" s="345"/>
      <c r="F47" s="19"/>
      <c r="G47" s="370"/>
      <c r="H47" s="371"/>
      <c r="I47" s="371"/>
      <c r="J47" s="372"/>
      <c r="K47" s="19"/>
      <c r="L47" s="345"/>
      <c r="M47" s="345"/>
      <c r="N47" s="345"/>
      <c r="O47" s="345"/>
      <c r="P47" s="19"/>
      <c r="Q47" s="345"/>
      <c r="R47" s="345"/>
      <c r="S47" s="345"/>
      <c r="T47" s="345"/>
      <c r="U47" s="19"/>
      <c r="V47" s="345"/>
      <c r="W47" s="345"/>
      <c r="X47" s="345"/>
      <c r="Y47" s="345"/>
      <c r="Z47" s="19"/>
      <c r="AA47" s="345"/>
      <c r="AB47" s="345"/>
      <c r="AC47" s="345"/>
      <c r="AD47" s="345"/>
      <c r="AE47" s="19"/>
      <c r="AF47" s="368"/>
      <c r="AG47" s="368"/>
      <c r="AH47" s="368"/>
      <c r="AI47" s="368"/>
      <c r="AJ47" s="8"/>
      <c r="AK47" s="368"/>
      <c r="AL47" s="368"/>
      <c r="AM47" s="368"/>
      <c r="AN47" s="368"/>
      <c r="AO47" s="8"/>
      <c r="AP47" s="368"/>
      <c r="AQ47" s="368"/>
      <c r="AR47" s="368"/>
      <c r="AS47" s="368"/>
      <c r="AT47" s="8"/>
      <c r="AU47" s="368"/>
      <c r="AV47" s="368"/>
      <c r="AW47" s="368"/>
      <c r="AX47" s="368"/>
      <c r="AY47" s="24"/>
      <c r="AZ47" s="368"/>
      <c r="BA47" s="368"/>
      <c r="BB47" s="368"/>
      <c r="BC47" s="368"/>
      <c r="BD47" s="24"/>
      <c r="BE47" s="368"/>
      <c r="BF47" s="368"/>
      <c r="BG47" s="368"/>
      <c r="BH47" s="368"/>
    </row>
    <row r="48" spans="1:60" x14ac:dyDescent="0.3">
      <c r="A48" s="6" t="s">
        <v>38</v>
      </c>
      <c r="B48" s="370">
        <v>8560.01</v>
      </c>
      <c r="C48" s="371"/>
      <c r="D48" s="371"/>
      <c r="E48" s="372"/>
      <c r="F48" s="22"/>
      <c r="G48" s="370">
        <v>829.99</v>
      </c>
      <c r="H48" s="371"/>
      <c r="I48" s="371"/>
      <c r="J48" s="372"/>
      <c r="K48" s="22"/>
      <c r="L48" s="370">
        <v>409.95</v>
      </c>
      <c r="M48" s="371"/>
      <c r="N48" s="371"/>
      <c r="O48" s="372"/>
      <c r="P48" s="22"/>
      <c r="Q48" s="370">
        <v>1468.87</v>
      </c>
      <c r="R48" s="371"/>
      <c r="S48" s="371"/>
      <c r="T48" s="372"/>
      <c r="U48" s="22"/>
      <c r="V48" s="370">
        <v>4070.25</v>
      </c>
      <c r="W48" s="371"/>
      <c r="X48" s="371"/>
      <c r="Y48" s="372"/>
      <c r="Z48" s="22"/>
      <c r="AA48" s="370">
        <v>449.59</v>
      </c>
      <c r="AB48" s="371"/>
      <c r="AC48" s="371"/>
      <c r="AD48" s="372"/>
      <c r="AE48" s="22"/>
      <c r="AF48" s="370">
        <v>505.58</v>
      </c>
      <c r="AG48" s="371"/>
      <c r="AH48" s="371"/>
      <c r="AI48" s="372"/>
      <c r="AJ48" s="23"/>
      <c r="AK48" s="370">
        <v>2207.58</v>
      </c>
      <c r="AL48" s="371"/>
      <c r="AM48" s="371"/>
      <c r="AN48" s="372"/>
      <c r="AO48" s="23"/>
      <c r="AP48" s="370">
        <v>1804.05</v>
      </c>
      <c r="AQ48" s="371"/>
      <c r="AR48" s="371"/>
      <c r="AS48" s="372"/>
      <c r="AT48" s="23"/>
      <c r="AU48" s="370">
        <v>391.68</v>
      </c>
      <c r="AV48" s="371"/>
      <c r="AW48" s="371"/>
      <c r="AX48" s="372"/>
      <c r="AY48" s="23"/>
      <c r="AZ48" s="370">
        <v>1275.05</v>
      </c>
      <c r="BA48" s="371"/>
      <c r="BB48" s="371"/>
      <c r="BC48" s="372"/>
      <c r="BD48" s="23"/>
      <c r="BE48" s="370">
        <v>1900.21</v>
      </c>
      <c r="BF48" s="371"/>
      <c r="BG48" s="371"/>
      <c r="BH48" s="372"/>
    </row>
    <row r="49" spans="1:60" x14ac:dyDescent="0.3">
      <c r="A49" s="5"/>
      <c r="B49" s="346"/>
      <c r="C49" s="346"/>
      <c r="D49" s="346"/>
      <c r="E49" s="346"/>
      <c r="F49" s="19"/>
      <c r="G49" s="346"/>
      <c r="H49" s="346"/>
      <c r="I49" s="346"/>
      <c r="J49" s="346"/>
      <c r="K49" s="19"/>
      <c r="L49" s="346"/>
      <c r="M49" s="346"/>
      <c r="N49" s="346"/>
      <c r="O49" s="346"/>
      <c r="P49" s="19"/>
      <c r="Q49" s="346"/>
      <c r="R49" s="346"/>
      <c r="S49" s="346"/>
      <c r="T49" s="346"/>
      <c r="U49" s="19"/>
      <c r="V49" s="346"/>
      <c r="W49" s="346"/>
      <c r="X49" s="346"/>
      <c r="Y49" s="346"/>
      <c r="Z49" s="19"/>
      <c r="AA49" s="346"/>
      <c r="AB49" s="346"/>
      <c r="AC49" s="346"/>
      <c r="AD49" s="346"/>
      <c r="AE49" s="19"/>
      <c r="AF49" s="369"/>
      <c r="AG49" s="369"/>
      <c r="AH49" s="369"/>
      <c r="AI49" s="369"/>
      <c r="AJ49" s="8"/>
      <c r="AK49" s="376"/>
      <c r="AL49" s="376"/>
      <c r="AM49" s="376"/>
      <c r="AN49" s="376"/>
      <c r="AO49" s="8"/>
      <c r="AP49" s="369"/>
      <c r="AQ49" s="369"/>
      <c r="AR49" s="369"/>
      <c r="AS49" s="369"/>
      <c r="AT49" s="8"/>
      <c r="AU49" s="369"/>
      <c r="AV49" s="369"/>
      <c r="AW49" s="369"/>
      <c r="AX49" s="369"/>
      <c r="AY49" s="24"/>
      <c r="AZ49" s="369"/>
      <c r="BA49" s="369"/>
      <c r="BB49" s="369"/>
      <c r="BC49" s="369"/>
      <c r="BD49" s="24"/>
      <c r="BE49" s="369"/>
      <c r="BF49" s="369"/>
      <c r="BG49" s="369"/>
      <c r="BH49" s="369"/>
    </row>
    <row r="50" spans="1:60" x14ac:dyDescent="0.3">
      <c r="A50" s="6" t="s">
        <v>39</v>
      </c>
      <c r="B50" s="346"/>
      <c r="C50" s="346"/>
      <c r="D50" s="346"/>
      <c r="E50" s="346"/>
      <c r="F50" s="19"/>
      <c r="G50" s="346"/>
      <c r="H50" s="346"/>
      <c r="I50" s="346"/>
      <c r="J50" s="346"/>
      <c r="K50" s="19"/>
      <c r="L50" s="346"/>
      <c r="M50" s="346"/>
      <c r="N50" s="346"/>
      <c r="O50" s="346"/>
      <c r="P50" s="19"/>
      <c r="Q50" s="346"/>
      <c r="R50" s="346"/>
      <c r="S50" s="346"/>
      <c r="T50" s="346"/>
      <c r="U50" s="19"/>
      <c r="V50" s="346"/>
      <c r="W50" s="346"/>
      <c r="X50" s="346"/>
      <c r="Y50" s="346"/>
      <c r="Z50" s="19"/>
      <c r="AA50" s="346"/>
      <c r="AB50" s="346"/>
      <c r="AC50" s="346"/>
      <c r="AD50" s="346"/>
      <c r="AE50" s="19"/>
      <c r="AF50" s="369"/>
      <c r="AG50" s="369"/>
      <c r="AH50" s="369"/>
      <c r="AI50" s="369"/>
      <c r="AJ50" s="8"/>
      <c r="AK50" s="376"/>
      <c r="AL50" s="376"/>
      <c r="AM50" s="376"/>
      <c r="AN50" s="376"/>
      <c r="AO50" s="8"/>
      <c r="AP50" s="369"/>
      <c r="AQ50" s="369"/>
      <c r="AR50" s="369"/>
      <c r="AS50" s="369"/>
      <c r="AT50" s="8"/>
      <c r="AU50" s="369"/>
      <c r="AV50" s="369"/>
      <c r="AW50" s="369"/>
      <c r="AX50" s="369"/>
      <c r="AY50" s="24"/>
      <c r="AZ50" s="369"/>
      <c r="BA50" s="369"/>
      <c r="BB50" s="369"/>
      <c r="BC50" s="369"/>
      <c r="BD50" s="24"/>
      <c r="BE50" s="369"/>
      <c r="BF50" s="369"/>
      <c r="BG50" s="369"/>
      <c r="BH50" s="369"/>
    </row>
    <row r="51" spans="1:60" x14ac:dyDescent="0.3">
      <c r="A51" s="5" t="s">
        <v>24</v>
      </c>
      <c r="B51" s="384">
        <v>1.8200000000000001E-2</v>
      </c>
      <c r="C51" s="385"/>
      <c r="D51" s="385"/>
      <c r="E51" s="386"/>
      <c r="F51" s="48"/>
      <c r="G51" s="384">
        <v>2.23E-2</v>
      </c>
      <c r="H51" s="385"/>
      <c r="I51" s="385"/>
      <c r="J51" s="386"/>
      <c r="K51" s="48"/>
      <c r="L51" s="384">
        <v>2.64E-2</v>
      </c>
      <c r="M51" s="385"/>
      <c r="N51" s="385"/>
      <c r="O51" s="386"/>
      <c r="P51" s="48"/>
      <c r="Q51" s="384">
        <v>2.23E-2</v>
      </c>
      <c r="R51" s="385"/>
      <c r="S51" s="385"/>
      <c r="T51" s="386"/>
      <c r="U51" s="48"/>
      <c r="V51" s="384">
        <v>1.9099999999999999E-2</v>
      </c>
      <c r="W51" s="385"/>
      <c r="X51" s="385"/>
      <c r="Y51" s="386"/>
      <c r="Z51" s="48"/>
      <c r="AA51" s="384">
        <v>2.41E-2</v>
      </c>
      <c r="AB51" s="385"/>
      <c r="AC51" s="385"/>
      <c r="AD51" s="386"/>
      <c r="AE51" s="48"/>
      <c r="AF51" s="373">
        <v>2.5999999999999999E-2</v>
      </c>
      <c r="AG51" s="387"/>
      <c r="AH51" s="387"/>
      <c r="AI51" s="388"/>
      <c r="AJ51" s="49"/>
      <c r="AK51" s="373">
        <v>2.2200000000000001E-2</v>
      </c>
      <c r="AL51" s="374"/>
      <c r="AM51" s="374"/>
      <c r="AN51" s="375"/>
      <c r="AO51" s="49"/>
      <c r="AP51" s="373">
        <v>2.2100000000000002E-2</v>
      </c>
      <c r="AQ51" s="374"/>
      <c r="AR51" s="374"/>
      <c r="AS51" s="375"/>
      <c r="AT51" s="49"/>
      <c r="AU51" s="378">
        <v>2.63E-2</v>
      </c>
      <c r="AV51" s="379"/>
      <c r="AW51" s="379"/>
      <c r="AX51" s="380"/>
      <c r="AY51" s="46"/>
      <c r="AZ51" s="378">
        <v>2.1999999999999999E-2</v>
      </c>
      <c r="BA51" s="379"/>
      <c r="BB51" s="379"/>
      <c r="BC51" s="380"/>
      <c r="BD51" s="46"/>
      <c r="BE51" s="378">
        <v>2.06E-2</v>
      </c>
      <c r="BF51" s="379"/>
      <c r="BG51" s="379"/>
      <c r="BH51" s="380"/>
    </row>
    <row r="52" spans="1:60" x14ac:dyDescent="0.3">
      <c r="A52" s="5" t="s">
        <v>6</v>
      </c>
      <c r="B52" s="381">
        <v>5.4999999999999997E-3</v>
      </c>
      <c r="C52" s="382"/>
      <c r="D52" s="382"/>
      <c r="E52" s="383"/>
      <c r="F52" s="45"/>
      <c r="G52" s="381">
        <v>2.5000000000000001E-3</v>
      </c>
      <c r="H52" s="382"/>
      <c r="I52" s="382"/>
      <c r="J52" s="383"/>
      <c r="K52" s="45"/>
      <c r="L52" s="381">
        <v>1.24E-2</v>
      </c>
      <c r="M52" s="382"/>
      <c r="N52" s="382"/>
      <c r="O52" s="383"/>
      <c r="P52" s="45"/>
      <c r="Q52" s="381">
        <v>4.4999999999999997E-3</v>
      </c>
      <c r="R52" s="382"/>
      <c r="S52" s="382"/>
      <c r="T52" s="383"/>
      <c r="U52" s="45"/>
      <c r="V52" s="381">
        <v>6.1999999999999998E-3</v>
      </c>
      <c r="W52" s="382"/>
      <c r="X52" s="382"/>
      <c r="Y52" s="383"/>
      <c r="Z52" s="45"/>
      <c r="AA52" s="381">
        <v>8.2000000000000007E-3</v>
      </c>
      <c r="AB52" s="382"/>
      <c r="AC52" s="382"/>
      <c r="AD52" s="383"/>
      <c r="AE52" s="45"/>
      <c r="AF52" s="378">
        <v>1.0200000000000001E-2</v>
      </c>
      <c r="AG52" s="379"/>
      <c r="AH52" s="379"/>
      <c r="AI52" s="380"/>
      <c r="AJ52" s="46"/>
      <c r="AK52" s="378">
        <v>6.1999999999999998E-3</v>
      </c>
      <c r="AL52" s="379"/>
      <c r="AM52" s="379"/>
      <c r="AN52" s="380"/>
      <c r="AO52" s="46"/>
      <c r="AP52" s="378">
        <v>7.4000000000000003E-3</v>
      </c>
      <c r="AQ52" s="379"/>
      <c r="AR52" s="379"/>
      <c r="AS52" s="380"/>
      <c r="AT52" s="46"/>
      <c r="AU52" s="378">
        <v>1.2E-2</v>
      </c>
      <c r="AV52" s="379"/>
      <c r="AW52" s="379"/>
      <c r="AX52" s="380"/>
      <c r="AY52" s="46"/>
      <c r="AZ52" s="378">
        <v>5.1999999999999998E-3</v>
      </c>
      <c r="BA52" s="379"/>
      <c r="BB52" s="379"/>
      <c r="BC52" s="380"/>
      <c r="BD52" s="46"/>
      <c r="BE52" s="378">
        <v>6.7999999999999996E-3</v>
      </c>
      <c r="BF52" s="379"/>
      <c r="BG52" s="379"/>
      <c r="BH52" s="380"/>
    </row>
    <row r="53" spans="1:60" s="88" customFormat="1" x14ac:dyDescent="0.3">
      <c r="A53" s="12"/>
      <c r="B53" s="392"/>
      <c r="C53" s="392"/>
      <c r="D53" s="392"/>
      <c r="E53" s="392"/>
      <c r="F53" s="33"/>
      <c r="G53" s="392"/>
      <c r="H53" s="392"/>
      <c r="I53" s="392"/>
      <c r="J53" s="392"/>
      <c r="K53" s="33"/>
      <c r="L53" s="392"/>
      <c r="M53" s="392"/>
      <c r="N53" s="392"/>
      <c r="O53" s="392"/>
      <c r="P53" s="33"/>
      <c r="Q53" s="392"/>
      <c r="R53" s="392"/>
      <c r="S53" s="392"/>
      <c r="T53" s="392"/>
      <c r="U53" s="33"/>
      <c r="V53" s="392"/>
      <c r="W53" s="392"/>
      <c r="X53" s="392"/>
      <c r="Y53" s="392"/>
      <c r="Z53" s="33"/>
      <c r="AA53" s="392"/>
      <c r="AB53" s="392"/>
      <c r="AC53" s="392"/>
      <c r="AD53" s="392"/>
      <c r="AE53" s="33"/>
      <c r="AF53" s="393"/>
      <c r="AG53" s="393"/>
      <c r="AH53" s="393"/>
      <c r="AI53" s="393"/>
      <c r="AJ53" s="34"/>
      <c r="AK53" s="393"/>
      <c r="AL53" s="393"/>
      <c r="AM53" s="393"/>
      <c r="AN53" s="393"/>
      <c r="AO53" s="34"/>
      <c r="AP53" s="393"/>
      <c r="AQ53" s="393"/>
      <c r="AR53" s="393"/>
      <c r="AS53" s="393"/>
      <c r="AT53" s="34"/>
      <c r="AU53" s="368"/>
      <c r="AV53" s="368"/>
      <c r="AW53" s="368"/>
      <c r="AX53" s="368"/>
      <c r="AY53" s="24"/>
      <c r="AZ53" s="368"/>
      <c r="BA53" s="368"/>
      <c r="BB53" s="368"/>
      <c r="BC53" s="368"/>
      <c r="BD53" s="24"/>
      <c r="BE53" s="368"/>
      <c r="BF53" s="368"/>
      <c r="BG53" s="368"/>
      <c r="BH53" s="368"/>
    </row>
    <row r="54" spans="1:60" s="75" customFormat="1" ht="280.5" customHeight="1" x14ac:dyDescent="0.3">
      <c r="A54" s="68" t="s">
        <v>41</v>
      </c>
      <c r="B54" s="377"/>
      <c r="C54" s="377"/>
      <c r="D54" s="377"/>
      <c r="E54" s="377"/>
      <c r="F54" s="69"/>
      <c r="G54" s="377"/>
      <c r="H54" s="377"/>
      <c r="I54" s="377"/>
      <c r="J54" s="377"/>
      <c r="K54" s="69"/>
      <c r="L54" s="377"/>
      <c r="M54" s="377"/>
      <c r="N54" s="377"/>
      <c r="O54" s="377"/>
      <c r="P54" s="69"/>
      <c r="Q54" s="377"/>
      <c r="R54" s="377"/>
      <c r="S54" s="377"/>
      <c r="T54" s="377"/>
      <c r="U54" s="69"/>
      <c r="V54" s="377"/>
      <c r="W54" s="377"/>
      <c r="X54" s="377"/>
      <c r="Y54" s="377"/>
      <c r="Z54" s="69"/>
      <c r="AA54" s="377"/>
      <c r="AB54" s="377"/>
      <c r="AC54" s="377"/>
      <c r="AD54" s="377"/>
      <c r="AE54" s="69"/>
      <c r="AF54" s="377"/>
      <c r="AG54" s="377"/>
      <c r="AH54" s="377"/>
      <c r="AI54" s="377"/>
      <c r="AJ54" s="69"/>
      <c r="AK54" s="377"/>
      <c r="AL54" s="377"/>
      <c r="AM54" s="377"/>
      <c r="AN54" s="377"/>
      <c r="AO54" s="69"/>
      <c r="AP54" s="377"/>
      <c r="AQ54" s="377"/>
      <c r="AR54" s="377"/>
      <c r="AS54" s="377"/>
      <c r="AT54" s="69"/>
      <c r="AU54" s="389"/>
      <c r="AV54" s="389"/>
      <c r="AW54" s="389"/>
      <c r="AX54" s="389"/>
      <c r="AY54" s="70"/>
      <c r="AZ54" s="389"/>
      <c r="BA54" s="389"/>
      <c r="BB54" s="389"/>
      <c r="BC54" s="389"/>
      <c r="BD54" s="70"/>
      <c r="BE54" s="389"/>
      <c r="BF54" s="389"/>
      <c r="BG54" s="389"/>
      <c r="BH54" s="390"/>
    </row>
    <row r="55" spans="1:60" s="75" customFormat="1" ht="29.25" customHeight="1" x14ac:dyDescent="0.3">
      <c r="A55" s="40" t="s">
        <v>42</v>
      </c>
      <c r="B55" s="66"/>
      <c r="C55" s="67"/>
      <c r="D55" s="67"/>
      <c r="E55" s="67"/>
      <c r="F55" s="42"/>
      <c r="G55" s="41"/>
      <c r="H55" s="41"/>
      <c r="I55" s="41"/>
      <c r="J55" s="41"/>
      <c r="K55" s="42"/>
      <c r="L55" s="41"/>
      <c r="M55" s="41"/>
      <c r="N55" s="41"/>
      <c r="O55" s="41"/>
      <c r="P55" s="42"/>
      <c r="Q55" s="41"/>
      <c r="R55" s="41"/>
      <c r="S55" s="41"/>
      <c r="T55" s="41"/>
      <c r="U55" s="42"/>
      <c r="V55" s="41"/>
      <c r="W55" s="41"/>
      <c r="X55" s="41"/>
      <c r="Y55" s="41"/>
      <c r="Z55" s="42"/>
      <c r="AA55" s="41"/>
      <c r="AB55" s="41"/>
      <c r="AC55" s="41"/>
      <c r="AD55" s="41"/>
      <c r="AE55" s="42"/>
      <c r="AF55" s="41"/>
      <c r="AG55" s="41"/>
      <c r="AH55" s="41"/>
      <c r="AI55" s="41"/>
      <c r="AJ55" s="42"/>
      <c r="AK55" s="41"/>
      <c r="AL55" s="41"/>
      <c r="AM55" s="41"/>
      <c r="AN55" s="41"/>
      <c r="AO55" s="42"/>
      <c r="AP55" s="41"/>
      <c r="AQ55" s="41"/>
      <c r="AR55" s="41"/>
      <c r="AS55" s="41"/>
      <c r="AT55" s="42"/>
      <c r="AU55" s="43"/>
      <c r="AV55" s="43"/>
      <c r="AW55" s="43"/>
      <c r="AX55" s="43"/>
      <c r="AY55" s="44"/>
      <c r="AZ55" s="43"/>
      <c r="BA55" s="43"/>
      <c r="BB55" s="43"/>
      <c r="BC55" s="43"/>
      <c r="BD55" s="44"/>
      <c r="BE55" s="43"/>
      <c r="BF55" s="43"/>
      <c r="BG55" s="43"/>
      <c r="BH55" s="97"/>
    </row>
    <row r="56" spans="1:60" s="76" customFormat="1" ht="172.5" customHeight="1" x14ac:dyDescent="0.3">
      <c r="A56" s="63" t="s">
        <v>40</v>
      </c>
      <c r="B56" s="329"/>
      <c r="C56" s="329"/>
      <c r="D56" s="329"/>
      <c r="E56" s="329"/>
      <c r="F56" s="64"/>
      <c r="G56" s="329"/>
      <c r="H56" s="329"/>
      <c r="I56" s="329"/>
      <c r="J56" s="329"/>
      <c r="K56" s="64"/>
      <c r="L56" s="329"/>
      <c r="M56" s="329"/>
      <c r="N56" s="329"/>
      <c r="O56" s="329"/>
      <c r="P56" s="64"/>
      <c r="Q56" s="329"/>
      <c r="R56" s="329"/>
      <c r="S56" s="329"/>
      <c r="T56" s="329"/>
      <c r="U56" s="64"/>
      <c r="V56" s="329"/>
      <c r="W56" s="329"/>
      <c r="X56" s="329"/>
      <c r="Y56" s="329"/>
      <c r="Z56" s="64"/>
      <c r="AA56" s="329"/>
      <c r="AB56" s="329"/>
      <c r="AC56" s="329"/>
      <c r="AD56" s="329"/>
      <c r="AE56" s="64"/>
      <c r="AF56" s="329"/>
      <c r="AG56" s="329"/>
      <c r="AH56" s="329"/>
      <c r="AI56" s="329"/>
      <c r="AJ56" s="64"/>
      <c r="AK56" s="329"/>
      <c r="AL56" s="329"/>
      <c r="AM56" s="329"/>
      <c r="AN56" s="329"/>
      <c r="AO56" s="64"/>
      <c r="AP56" s="329"/>
      <c r="AQ56" s="329"/>
      <c r="AR56" s="329"/>
      <c r="AS56" s="329"/>
      <c r="AT56" s="64"/>
      <c r="AU56" s="329"/>
      <c r="AV56" s="329"/>
      <c r="AW56" s="329"/>
      <c r="AX56" s="329"/>
      <c r="AY56" s="65"/>
      <c r="AZ56" s="329"/>
      <c r="BA56" s="329"/>
      <c r="BB56" s="329"/>
      <c r="BC56" s="329"/>
      <c r="BD56" s="65"/>
      <c r="BE56" s="329"/>
      <c r="BF56" s="329"/>
      <c r="BG56" s="329"/>
      <c r="BH56" s="330"/>
    </row>
    <row r="57" spans="1:60" s="77" customForma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35"/>
      <c r="AI57" s="35"/>
      <c r="AJ57" s="35"/>
      <c r="AK57" s="1"/>
      <c r="AL57" s="1"/>
      <c r="AM57" s="1"/>
      <c r="AN57" s="1"/>
      <c r="AO57" s="1"/>
      <c r="AP57" s="1"/>
      <c r="AQ57" s="1"/>
      <c r="AR57" s="1"/>
      <c r="AS57" s="1"/>
      <c r="AT57" s="1"/>
      <c r="AU57" s="1"/>
      <c r="AV57" s="1"/>
      <c r="AW57" s="1"/>
      <c r="AX57" s="1"/>
      <c r="AY57" s="1"/>
      <c r="AZ57" s="7"/>
      <c r="BA57" s="7"/>
      <c r="BB57" s="7"/>
      <c r="BC57" s="7"/>
      <c r="BD57" s="1"/>
      <c r="BE57" s="1"/>
      <c r="BF57" s="1"/>
      <c r="BG57" s="1"/>
      <c r="BH57" s="1"/>
    </row>
    <row r="58" spans="1:60" s="77" customFormat="1" x14ac:dyDescent="0.3">
      <c r="A58" s="2"/>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35"/>
      <c r="AI58" s="35"/>
      <c r="AJ58" s="35"/>
      <c r="AK58" s="1"/>
      <c r="AL58" s="1"/>
      <c r="AM58" s="1"/>
      <c r="AN58" s="1"/>
      <c r="AO58" s="1"/>
      <c r="AP58" s="1"/>
      <c r="AQ58" s="1"/>
      <c r="AR58" s="1"/>
      <c r="AS58" s="1"/>
      <c r="AT58" s="1"/>
      <c r="AU58" s="1"/>
      <c r="AV58" s="1"/>
      <c r="AW58" s="1"/>
      <c r="AX58" s="1"/>
      <c r="AY58" s="1"/>
      <c r="AZ58" s="7"/>
      <c r="BA58" s="7"/>
      <c r="BB58" s="7"/>
      <c r="BC58" s="7"/>
      <c r="BD58" s="1"/>
      <c r="BE58" s="1"/>
      <c r="BF58" s="1"/>
      <c r="BG58" s="1"/>
      <c r="BH58" s="1"/>
    </row>
    <row r="59" spans="1:60" s="77" customFormat="1" x14ac:dyDescent="0.3">
      <c r="A59" s="2" t="s">
        <v>7</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35"/>
      <c r="AI59" s="35"/>
      <c r="AJ59" s="35"/>
      <c r="AK59" s="1"/>
      <c r="AL59" s="1"/>
      <c r="AM59" s="1"/>
      <c r="AN59" s="1"/>
      <c r="AO59" s="1"/>
      <c r="AP59" s="1"/>
      <c r="AQ59" s="1"/>
      <c r="AR59" s="1"/>
      <c r="AS59" s="1"/>
      <c r="AT59" s="1"/>
      <c r="AU59" s="1"/>
      <c r="AV59" s="1"/>
      <c r="AW59" s="1"/>
      <c r="AX59" s="1"/>
      <c r="AY59" s="1"/>
      <c r="AZ59" s="7"/>
      <c r="BA59" s="7"/>
      <c r="BB59" s="7"/>
      <c r="BC59" s="7"/>
      <c r="BD59" s="1"/>
      <c r="BE59" s="1"/>
      <c r="BF59" s="1"/>
      <c r="BG59" s="1"/>
      <c r="BH59" s="1"/>
    </row>
    <row r="60" spans="1:60" s="77" customFormat="1" ht="16.2" x14ac:dyDescent="0.3">
      <c r="A60" s="1" t="s">
        <v>8</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35"/>
      <c r="AI60" s="35"/>
      <c r="AJ60" s="35"/>
      <c r="AK60" s="1"/>
      <c r="AL60" s="1"/>
      <c r="AM60" s="1"/>
      <c r="AN60" s="1"/>
      <c r="AO60" s="1"/>
      <c r="AP60" s="1"/>
      <c r="AQ60" s="1"/>
      <c r="AR60" s="1"/>
      <c r="AS60" s="1"/>
      <c r="AT60" s="1"/>
      <c r="AU60" s="1"/>
      <c r="AV60" s="1"/>
      <c r="AW60" s="1"/>
      <c r="AX60" s="1"/>
      <c r="AY60" s="1"/>
      <c r="AZ60" s="7"/>
      <c r="BA60" s="7"/>
      <c r="BB60" s="7"/>
      <c r="BC60" s="7"/>
      <c r="BD60" s="1"/>
      <c r="BE60" s="1"/>
      <c r="BF60" s="1"/>
      <c r="BG60" s="1"/>
      <c r="BH60" s="1"/>
    </row>
    <row r="61" spans="1:60" s="77" customFormat="1" ht="36" customHeight="1" x14ac:dyDescent="0.3">
      <c r="A61" s="391" t="s">
        <v>28</v>
      </c>
      <c r="B61" s="391"/>
      <c r="C61" s="391"/>
      <c r="D61" s="391"/>
      <c r="E61" s="391"/>
      <c r="F61" s="391"/>
      <c r="G61" s="391"/>
      <c r="H61" s="391"/>
      <c r="I61" s="391"/>
      <c r="J61" s="391"/>
      <c r="K61" s="391"/>
      <c r="L61" s="391"/>
      <c r="M61" s="1"/>
      <c r="N61" s="1"/>
      <c r="O61" s="1"/>
      <c r="P61" s="1"/>
      <c r="Q61" s="1"/>
      <c r="R61" s="1"/>
      <c r="S61" s="1"/>
      <c r="T61" s="1"/>
      <c r="U61" s="1"/>
      <c r="V61" s="1"/>
      <c r="W61" s="1"/>
      <c r="X61" s="1"/>
      <c r="Y61" s="1"/>
      <c r="Z61" s="1"/>
      <c r="AA61" s="1"/>
      <c r="AB61" s="1"/>
      <c r="AC61" s="1"/>
      <c r="AD61" s="1"/>
      <c r="AE61" s="1"/>
      <c r="AF61" s="1"/>
      <c r="AG61" s="1"/>
      <c r="AH61" s="35"/>
      <c r="AI61" s="35"/>
      <c r="AJ61" s="35"/>
      <c r="AK61" s="1"/>
      <c r="AL61" s="1"/>
      <c r="AM61" s="1"/>
      <c r="AN61" s="1"/>
      <c r="AO61" s="1"/>
      <c r="AP61" s="1"/>
      <c r="AQ61" s="1"/>
      <c r="AR61" s="1"/>
      <c r="AS61" s="1"/>
      <c r="AT61" s="1"/>
      <c r="AU61" s="1"/>
      <c r="AV61" s="1"/>
      <c r="AW61" s="1"/>
      <c r="AX61" s="1"/>
      <c r="AY61" s="1"/>
      <c r="AZ61" s="7"/>
      <c r="BA61" s="7"/>
      <c r="BB61" s="7"/>
      <c r="BC61" s="7"/>
      <c r="BD61" s="1"/>
      <c r="BE61" s="1"/>
      <c r="BF61" s="1"/>
      <c r="BG61" s="1"/>
      <c r="BH61" s="1"/>
    </row>
    <row r="62" spans="1:60" s="77" customFormat="1" x14ac:dyDescent="0.3">
      <c r="A62" s="1" t="s">
        <v>32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35"/>
      <c r="AI62" s="35"/>
      <c r="AJ62" s="35"/>
      <c r="AK62" s="1"/>
      <c r="AL62" s="1"/>
      <c r="AM62" s="1"/>
      <c r="AN62" s="1"/>
      <c r="AO62" s="1"/>
      <c r="AP62" s="1"/>
      <c r="AQ62" s="1"/>
      <c r="AR62" s="1"/>
      <c r="AS62" s="1"/>
      <c r="AT62" s="1"/>
      <c r="AU62" s="1"/>
      <c r="AV62" s="1"/>
      <c r="AW62" s="1"/>
      <c r="AX62" s="1"/>
      <c r="AY62" s="1"/>
      <c r="AZ62" s="7"/>
      <c r="BA62" s="7"/>
      <c r="BB62" s="7"/>
      <c r="BC62" s="7"/>
      <c r="BD62" s="1"/>
      <c r="BE62" s="1"/>
      <c r="BF62" s="1"/>
      <c r="BG62" s="1"/>
      <c r="BH62" s="1"/>
    </row>
    <row r="63" spans="1:60" s="77" customFormat="1" ht="16.2" x14ac:dyDescent="0.3">
      <c r="A63" s="1" t="s">
        <v>30</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35"/>
      <c r="AI63" s="35"/>
      <c r="AJ63" s="35"/>
      <c r="AK63" s="1"/>
      <c r="AL63" s="1"/>
      <c r="AM63" s="1"/>
      <c r="AN63" s="1"/>
      <c r="AO63" s="1"/>
      <c r="AP63" s="1"/>
      <c r="AQ63" s="1"/>
      <c r="AR63" s="1"/>
      <c r="AS63" s="1"/>
      <c r="AT63" s="1"/>
      <c r="AU63" s="1"/>
      <c r="AV63" s="1"/>
      <c r="AW63" s="1"/>
      <c r="AX63" s="1"/>
      <c r="AY63" s="1"/>
      <c r="AZ63" s="7"/>
      <c r="BA63" s="7"/>
      <c r="BB63" s="7"/>
      <c r="BC63" s="7"/>
      <c r="BD63" s="1"/>
      <c r="BE63" s="1"/>
      <c r="BF63" s="1"/>
      <c r="BG63" s="1"/>
      <c r="BH63" s="1"/>
    </row>
    <row r="64" spans="1:60" s="77" customFormat="1" x14ac:dyDescent="0.3">
      <c r="A64" s="1" t="s">
        <v>31</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35"/>
      <c r="AI64" s="35"/>
      <c r="AJ64" s="35"/>
      <c r="AK64" s="1"/>
      <c r="AL64" s="1"/>
      <c r="AM64" s="1"/>
      <c r="AN64" s="1"/>
      <c r="AO64" s="1"/>
      <c r="AP64" s="1"/>
      <c r="AQ64" s="1"/>
      <c r="AR64" s="1"/>
      <c r="AS64" s="1"/>
      <c r="AT64" s="1"/>
      <c r="AU64" s="1"/>
      <c r="AV64" s="1"/>
      <c r="AW64" s="1"/>
      <c r="AX64" s="1"/>
      <c r="AY64" s="1"/>
      <c r="AZ64" s="7"/>
      <c r="BA64" s="7"/>
      <c r="BB64" s="7"/>
      <c r="BC64" s="7"/>
      <c r="BD64" s="1"/>
      <c r="BE64" s="1"/>
      <c r="BF64" s="1"/>
      <c r="BG64" s="1"/>
      <c r="BH64" s="1"/>
    </row>
    <row r="65" spans="1:60" s="77" customFormat="1" x14ac:dyDescent="0.3">
      <c r="A65" s="1" t="s">
        <v>36</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35"/>
      <c r="AI65" s="35"/>
      <c r="AJ65" s="35"/>
      <c r="AK65" s="1"/>
      <c r="AL65" s="1"/>
      <c r="AM65" s="1"/>
      <c r="AN65" s="1"/>
      <c r="AO65" s="1"/>
      <c r="AP65" s="1"/>
      <c r="AQ65" s="1"/>
      <c r="AR65" s="1"/>
      <c r="AS65" s="1"/>
      <c r="AT65" s="1"/>
      <c r="AU65" s="1"/>
      <c r="AV65" s="1"/>
      <c r="AW65" s="1"/>
      <c r="AX65" s="1"/>
      <c r="AY65" s="1"/>
      <c r="AZ65" s="7"/>
      <c r="BA65" s="7"/>
      <c r="BB65" s="7"/>
      <c r="BC65" s="7"/>
      <c r="BD65" s="1"/>
      <c r="BE65" s="1"/>
      <c r="BF65" s="1"/>
      <c r="BG65" s="1"/>
      <c r="BH65" s="1"/>
    </row>
    <row r="66" spans="1:60" s="77" customForma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35"/>
      <c r="AI66" s="35"/>
      <c r="AJ66" s="35"/>
      <c r="AK66" s="1"/>
      <c r="AL66" s="1"/>
      <c r="AM66" s="1"/>
      <c r="AN66" s="1"/>
      <c r="AO66" s="1"/>
      <c r="AP66" s="1"/>
      <c r="AQ66" s="1"/>
      <c r="AR66" s="1"/>
      <c r="AS66" s="1"/>
      <c r="AT66" s="1"/>
      <c r="AU66" s="1"/>
      <c r="AV66" s="1"/>
      <c r="AW66" s="1"/>
      <c r="AX66" s="1"/>
      <c r="AY66" s="1"/>
      <c r="AZ66" s="7"/>
      <c r="BA66" s="7"/>
      <c r="BB66" s="7"/>
      <c r="BC66" s="7"/>
      <c r="BD66" s="1"/>
      <c r="BE66" s="1"/>
      <c r="BF66" s="1"/>
      <c r="BG66" s="1"/>
      <c r="BH66" s="1"/>
    </row>
    <row r="67" spans="1:60" s="77" customForma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35"/>
      <c r="AI67" s="35"/>
      <c r="AJ67" s="35"/>
      <c r="AK67" s="1"/>
      <c r="AL67" s="1"/>
      <c r="AM67" s="1"/>
      <c r="AN67" s="1"/>
      <c r="AO67" s="1"/>
      <c r="AP67" s="1"/>
      <c r="AQ67" s="1"/>
      <c r="AR67" s="1"/>
      <c r="AS67" s="1"/>
      <c r="AT67" s="1"/>
      <c r="AU67" s="1"/>
      <c r="AV67" s="1"/>
      <c r="AW67" s="1"/>
      <c r="AX67" s="1"/>
      <c r="AY67" s="1"/>
      <c r="AZ67" s="7"/>
      <c r="BA67" s="7"/>
      <c r="BB67" s="7"/>
      <c r="BC67" s="7"/>
      <c r="BD67" s="1"/>
      <c r="BE67" s="1"/>
      <c r="BF67" s="1"/>
      <c r="BG67" s="1"/>
      <c r="BH67" s="1"/>
    </row>
    <row r="68" spans="1:60" s="77" customForma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35"/>
      <c r="AI68" s="35"/>
      <c r="AJ68" s="35"/>
      <c r="AK68" s="1"/>
      <c r="AL68" s="1"/>
      <c r="AM68" s="1"/>
      <c r="AN68" s="1"/>
      <c r="AO68" s="1"/>
      <c r="AP68" s="1"/>
      <c r="AQ68" s="1"/>
      <c r="AR68" s="1"/>
      <c r="AS68" s="1"/>
      <c r="AT68" s="1"/>
      <c r="AU68" s="1"/>
      <c r="AV68" s="1"/>
      <c r="AW68" s="1"/>
      <c r="AX68" s="1"/>
      <c r="AY68" s="1"/>
      <c r="AZ68" s="7"/>
      <c r="BA68" s="7"/>
      <c r="BB68" s="7"/>
      <c r="BC68" s="7"/>
      <c r="BD68" s="1"/>
      <c r="BE68" s="1"/>
      <c r="BF68" s="1"/>
      <c r="BG68" s="1"/>
      <c r="BH68" s="1"/>
    </row>
    <row r="69" spans="1:60" s="77" customForma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35"/>
      <c r="AI69" s="35"/>
      <c r="AJ69" s="35"/>
      <c r="AK69" s="1"/>
      <c r="AL69" s="1"/>
      <c r="AM69" s="1"/>
      <c r="AN69" s="1"/>
      <c r="AO69" s="1"/>
      <c r="AP69" s="1"/>
      <c r="AQ69" s="1"/>
      <c r="AR69" s="1"/>
      <c r="AS69" s="1"/>
      <c r="AT69" s="1"/>
      <c r="AU69" s="1"/>
      <c r="AV69" s="1"/>
      <c r="AW69" s="1"/>
      <c r="AX69" s="1"/>
      <c r="AY69" s="1"/>
      <c r="AZ69" s="7"/>
      <c r="BA69" s="7"/>
      <c r="BB69" s="7"/>
      <c r="BC69" s="7"/>
      <c r="BD69" s="1"/>
      <c r="BE69" s="1"/>
      <c r="BF69" s="1"/>
      <c r="BG69" s="1"/>
      <c r="BH69" s="1"/>
    </row>
    <row r="70" spans="1:60" s="77" customForma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35"/>
      <c r="AI70" s="35"/>
      <c r="AJ70" s="35"/>
      <c r="AK70" s="1"/>
      <c r="AL70" s="1"/>
      <c r="AM70" s="1"/>
      <c r="AN70" s="1"/>
      <c r="AO70" s="1"/>
      <c r="AP70" s="1"/>
      <c r="AQ70" s="1"/>
      <c r="AR70" s="1"/>
      <c r="AS70" s="1"/>
      <c r="AT70" s="1"/>
      <c r="AU70" s="1"/>
      <c r="AV70" s="1"/>
      <c r="AW70" s="1"/>
      <c r="AX70" s="1"/>
      <c r="AY70" s="1"/>
      <c r="AZ70" s="7"/>
      <c r="BA70" s="7"/>
      <c r="BB70" s="7"/>
      <c r="BC70" s="7"/>
      <c r="BD70" s="1"/>
      <c r="BE70" s="1"/>
      <c r="BF70" s="1"/>
      <c r="BG70" s="1"/>
      <c r="BH70" s="1"/>
    </row>
    <row r="71" spans="1:60" s="77" customForma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35"/>
      <c r="AI71" s="35"/>
      <c r="AJ71" s="35"/>
      <c r="AK71" s="1"/>
      <c r="AL71" s="1"/>
      <c r="AM71" s="1"/>
      <c r="AN71" s="1"/>
      <c r="AO71" s="1"/>
      <c r="AP71" s="1"/>
      <c r="AQ71" s="1"/>
      <c r="AR71" s="1"/>
      <c r="AS71" s="1"/>
      <c r="AT71" s="1"/>
      <c r="AU71" s="1"/>
      <c r="AV71" s="1"/>
      <c r="AW71" s="1"/>
      <c r="AX71" s="1"/>
      <c r="AY71" s="1"/>
      <c r="AZ71" s="7"/>
      <c r="BA71" s="7"/>
      <c r="BB71" s="7"/>
      <c r="BC71" s="7"/>
      <c r="BD71" s="1"/>
      <c r="BE71" s="1"/>
      <c r="BF71" s="1"/>
      <c r="BG71" s="1"/>
      <c r="BH71" s="1"/>
    </row>
    <row r="72" spans="1:60" s="77" customForma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35"/>
      <c r="AI72" s="35"/>
      <c r="AJ72" s="35"/>
      <c r="AK72" s="1"/>
      <c r="AL72" s="1"/>
      <c r="AM72" s="1"/>
      <c r="AN72" s="1"/>
      <c r="AO72" s="1"/>
      <c r="AP72" s="1"/>
      <c r="AQ72" s="1"/>
      <c r="AR72" s="1"/>
      <c r="AS72" s="1"/>
      <c r="AT72" s="1"/>
      <c r="AU72" s="1"/>
      <c r="AV72" s="1"/>
      <c r="AW72" s="1"/>
      <c r="AX72" s="1"/>
      <c r="AY72" s="1"/>
      <c r="AZ72" s="7"/>
      <c r="BA72" s="7"/>
      <c r="BB72" s="7"/>
      <c r="BC72" s="7"/>
      <c r="BD72" s="1"/>
      <c r="BE72" s="1"/>
      <c r="BF72" s="1"/>
      <c r="BG72" s="1"/>
      <c r="BH72" s="1"/>
    </row>
    <row r="73" spans="1:60" s="77" customForma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35"/>
      <c r="AI73" s="35"/>
      <c r="AJ73" s="35"/>
      <c r="AK73" s="1"/>
      <c r="AL73" s="1"/>
      <c r="AM73" s="1"/>
      <c r="AN73" s="1"/>
      <c r="AO73" s="1"/>
      <c r="AP73" s="1"/>
      <c r="AQ73" s="1"/>
      <c r="AR73" s="1"/>
      <c r="AS73" s="1"/>
      <c r="AT73" s="1"/>
      <c r="AU73" s="1"/>
      <c r="AV73" s="1"/>
      <c r="AW73" s="1"/>
      <c r="AX73" s="1"/>
      <c r="AY73" s="1"/>
      <c r="AZ73" s="7"/>
      <c r="BA73" s="7"/>
      <c r="BB73" s="7"/>
      <c r="BC73" s="7"/>
      <c r="BD73" s="1"/>
      <c r="BE73" s="1"/>
      <c r="BF73" s="1"/>
      <c r="BG73" s="1"/>
      <c r="BH73" s="1"/>
    </row>
    <row r="74" spans="1:60" s="77" customForma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35"/>
      <c r="AI74" s="35"/>
      <c r="AJ74" s="35"/>
      <c r="AK74" s="1"/>
      <c r="AL74" s="1"/>
      <c r="AM74" s="1"/>
      <c r="AN74" s="1"/>
      <c r="AO74" s="1"/>
      <c r="AP74" s="1"/>
      <c r="AQ74" s="1"/>
      <c r="AR74" s="1"/>
      <c r="AS74" s="1"/>
      <c r="AT74" s="1"/>
      <c r="AU74" s="1"/>
      <c r="AV74" s="1"/>
      <c r="AW74" s="1"/>
      <c r="AX74" s="1"/>
      <c r="AY74" s="1"/>
      <c r="AZ74" s="7"/>
      <c r="BA74" s="7"/>
      <c r="BB74" s="7"/>
      <c r="BC74" s="7"/>
      <c r="BD74" s="1"/>
      <c r="BE74" s="1"/>
      <c r="BF74" s="1"/>
      <c r="BG74" s="1"/>
      <c r="BH74" s="1"/>
    </row>
    <row r="75" spans="1:60" s="77" customForma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35"/>
      <c r="AI75" s="35"/>
      <c r="AJ75" s="35"/>
      <c r="AK75" s="1"/>
      <c r="AL75" s="1"/>
      <c r="AM75" s="1"/>
      <c r="AN75" s="1"/>
      <c r="AO75" s="1"/>
      <c r="AP75" s="1"/>
      <c r="AQ75" s="1"/>
      <c r="AR75" s="1"/>
      <c r="AS75" s="1"/>
      <c r="AT75" s="1"/>
      <c r="AU75" s="1"/>
      <c r="AV75" s="1"/>
      <c r="AW75" s="1"/>
      <c r="AX75" s="1"/>
      <c r="AY75" s="1"/>
      <c r="AZ75" s="7"/>
      <c r="BA75" s="7"/>
      <c r="BB75" s="7"/>
      <c r="BC75" s="7"/>
      <c r="BD75" s="1"/>
      <c r="BE75" s="1"/>
      <c r="BF75" s="1"/>
      <c r="BG75" s="1"/>
      <c r="BH75" s="1"/>
    </row>
    <row r="76" spans="1:60" s="77" customForma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35"/>
      <c r="AI76" s="35"/>
      <c r="AJ76" s="35"/>
      <c r="AK76" s="1"/>
      <c r="AL76" s="1"/>
      <c r="AM76" s="1"/>
      <c r="AN76" s="1"/>
      <c r="AO76" s="1"/>
      <c r="AP76" s="1"/>
      <c r="AQ76" s="1"/>
      <c r="AR76" s="1"/>
      <c r="AS76" s="1"/>
      <c r="AT76" s="1"/>
      <c r="AU76" s="1"/>
      <c r="AV76" s="1"/>
      <c r="AW76" s="1"/>
      <c r="AX76" s="1"/>
      <c r="AY76" s="1"/>
      <c r="AZ76" s="7"/>
      <c r="BA76" s="7"/>
      <c r="BB76" s="7"/>
      <c r="BC76" s="7"/>
      <c r="BD76" s="1"/>
      <c r="BE76" s="1"/>
      <c r="BF76" s="1"/>
      <c r="BG76" s="1"/>
      <c r="BH76" s="1"/>
    </row>
    <row r="77" spans="1:60" s="77" customForma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35"/>
      <c r="AI77" s="35"/>
      <c r="AJ77" s="35"/>
      <c r="AK77" s="1"/>
      <c r="AL77" s="1"/>
      <c r="AM77" s="1"/>
      <c r="AN77" s="1"/>
      <c r="AO77" s="1"/>
      <c r="AP77" s="1"/>
      <c r="AQ77" s="1"/>
      <c r="AR77" s="1"/>
      <c r="AS77" s="1"/>
      <c r="AT77" s="1"/>
      <c r="AU77" s="1"/>
      <c r="AV77" s="1"/>
      <c r="AW77" s="1"/>
      <c r="AX77" s="1"/>
      <c r="AY77" s="1"/>
      <c r="AZ77" s="7"/>
      <c r="BA77" s="7"/>
      <c r="BB77" s="7"/>
      <c r="BC77" s="7"/>
      <c r="BD77" s="1"/>
      <c r="BE77" s="1"/>
      <c r="BF77" s="1"/>
      <c r="BG77" s="1"/>
      <c r="BH77" s="1"/>
    </row>
    <row r="78" spans="1:60" s="77" customForma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35"/>
      <c r="AI78" s="35"/>
      <c r="AJ78" s="35"/>
      <c r="AK78" s="1"/>
      <c r="AL78" s="1"/>
      <c r="AM78" s="1"/>
      <c r="AN78" s="1"/>
      <c r="AO78" s="1"/>
      <c r="AP78" s="1"/>
      <c r="AQ78" s="1"/>
      <c r="AR78" s="1"/>
      <c r="AS78" s="1"/>
      <c r="AT78" s="1"/>
      <c r="AU78" s="1"/>
      <c r="AV78" s="1"/>
      <c r="AW78" s="1"/>
      <c r="AX78" s="1"/>
      <c r="AY78" s="1"/>
      <c r="AZ78" s="7"/>
      <c r="BA78" s="7"/>
      <c r="BB78" s="7"/>
      <c r="BC78" s="7"/>
      <c r="BD78" s="1"/>
      <c r="BE78" s="1"/>
      <c r="BF78" s="1"/>
      <c r="BG78" s="1"/>
      <c r="BH78" s="1"/>
    </row>
    <row r="79" spans="1:60" s="77" customForma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35"/>
      <c r="AI79" s="35"/>
      <c r="AJ79" s="35"/>
      <c r="AK79" s="1"/>
      <c r="AL79" s="1"/>
      <c r="AM79" s="1"/>
      <c r="AN79" s="1"/>
      <c r="AO79" s="1"/>
      <c r="AP79" s="1"/>
      <c r="AQ79" s="1"/>
      <c r="AR79" s="1"/>
      <c r="AS79" s="1"/>
      <c r="AT79" s="1"/>
      <c r="AU79" s="1"/>
      <c r="AV79" s="1"/>
      <c r="AW79" s="1"/>
      <c r="AX79" s="1"/>
      <c r="AY79" s="1"/>
      <c r="AZ79" s="7"/>
      <c r="BA79" s="7"/>
      <c r="BB79" s="7"/>
      <c r="BC79" s="7"/>
      <c r="BD79" s="1"/>
      <c r="BE79" s="1"/>
      <c r="BF79" s="1"/>
      <c r="BG79" s="1"/>
      <c r="BH79" s="1"/>
    </row>
    <row r="80" spans="1:60" s="77" customForma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35"/>
      <c r="AI80" s="35"/>
      <c r="AJ80" s="35"/>
      <c r="AK80" s="1"/>
      <c r="AL80" s="1"/>
      <c r="AM80" s="1"/>
      <c r="AN80" s="1"/>
      <c r="AO80" s="1"/>
      <c r="AP80" s="1"/>
      <c r="AQ80" s="1"/>
      <c r="AR80" s="1"/>
      <c r="AS80" s="1"/>
      <c r="AT80" s="1"/>
      <c r="AU80" s="1"/>
      <c r="AV80" s="1"/>
      <c r="AW80" s="1"/>
      <c r="AX80" s="1"/>
      <c r="AY80" s="1"/>
      <c r="AZ80" s="7"/>
      <c r="BA80" s="7"/>
      <c r="BB80" s="7"/>
      <c r="BC80" s="7"/>
      <c r="BD80" s="1"/>
      <c r="BE80" s="1"/>
      <c r="BF80" s="1"/>
      <c r="BG80" s="1"/>
      <c r="BH80" s="1"/>
    </row>
    <row r="81" spans="1:60" s="77" customForma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35"/>
      <c r="AI81" s="35"/>
      <c r="AJ81" s="35"/>
      <c r="AK81" s="1"/>
      <c r="AL81" s="1"/>
      <c r="AM81" s="1"/>
      <c r="AN81" s="1"/>
      <c r="AO81" s="1"/>
      <c r="AP81" s="1"/>
      <c r="AQ81" s="1"/>
      <c r="AR81" s="1"/>
      <c r="AS81" s="1"/>
      <c r="AT81" s="1"/>
      <c r="AU81" s="1"/>
      <c r="AV81" s="1"/>
      <c r="AW81" s="1"/>
      <c r="AX81" s="1"/>
      <c r="AY81" s="1"/>
      <c r="AZ81" s="7"/>
      <c r="BA81" s="7"/>
      <c r="BB81" s="7"/>
      <c r="BC81" s="7"/>
      <c r="BD81" s="1"/>
      <c r="BE81" s="1"/>
      <c r="BF81" s="1"/>
      <c r="BG81" s="1"/>
      <c r="BH81" s="1"/>
    </row>
    <row r="82" spans="1:60" s="77" customForma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35"/>
      <c r="AI82" s="35"/>
      <c r="AJ82" s="35"/>
      <c r="AK82" s="1"/>
      <c r="AL82" s="1"/>
      <c r="AM82" s="1"/>
      <c r="AN82" s="1"/>
      <c r="AO82" s="1"/>
      <c r="AP82" s="1"/>
      <c r="AQ82" s="1"/>
      <c r="AR82" s="1"/>
      <c r="AS82" s="1"/>
      <c r="AT82" s="1"/>
      <c r="AU82" s="1"/>
      <c r="AV82" s="1"/>
      <c r="AW82" s="1"/>
      <c r="AX82" s="1"/>
      <c r="AY82" s="1"/>
      <c r="AZ82" s="7"/>
      <c r="BA82" s="7"/>
      <c r="BB82" s="7"/>
      <c r="BC82" s="7"/>
      <c r="BD82" s="1"/>
      <c r="BE82" s="1"/>
      <c r="BF82" s="1"/>
      <c r="BG82" s="1"/>
      <c r="BH82" s="1"/>
    </row>
    <row r="83" spans="1:60" s="77" customForma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35"/>
      <c r="AI83" s="35"/>
      <c r="AJ83" s="35"/>
      <c r="AK83" s="1"/>
      <c r="AL83" s="1"/>
      <c r="AM83" s="1"/>
      <c r="AN83" s="1"/>
      <c r="AO83" s="1"/>
      <c r="AP83" s="1"/>
      <c r="AQ83" s="1"/>
      <c r="AR83" s="1"/>
      <c r="AS83" s="1"/>
      <c r="AT83" s="1"/>
      <c r="AU83" s="1"/>
      <c r="AV83" s="1"/>
      <c r="AW83" s="1"/>
      <c r="AX83" s="1"/>
      <c r="AY83" s="1"/>
      <c r="AZ83" s="7"/>
      <c r="BA83" s="7"/>
      <c r="BB83" s="7"/>
      <c r="BC83" s="7"/>
      <c r="BD83" s="1"/>
      <c r="BE83" s="1"/>
      <c r="BF83" s="1"/>
      <c r="BG83" s="1"/>
      <c r="BH83" s="1"/>
    </row>
    <row r="84" spans="1:60" s="77" customForma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35"/>
      <c r="AI84" s="35"/>
      <c r="AJ84" s="35"/>
      <c r="AK84" s="1"/>
      <c r="AL84" s="1"/>
      <c r="AM84" s="1"/>
      <c r="AN84" s="1"/>
      <c r="AO84" s="1"/>
      <c r="AP84" s="1"/>
      <c r="AQ84" s="1"/>
      <c r="AR84" s="1"/>
      <c r="AS84" s="1"/>
      <c r="AT84" s="1"/>
      <c r="AU84" s="1"/>
      <c r="AV84" s="1"/>
      <c r="AW84" s="1"/>
      <c r="AX84" s="1"/>
      <c r="AY84" s="1"/>
      <c r="AZ84" s="7"/>
      <c r="BA84" s="7"/>
      <c r="BB84" s="7"/>
      <c r="BC84" s="7"/>
      <c r="BD84" s="1"/>
      <c r="BE84" s="1"/>
      <c r="BF84" s="1"/>
      <c r="BG84" s="1"/>
      <c r="BH84" s="1"/>
    </row>
    <row r="85" spans="1:60" s="77" customForma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35"/>
      <c r="AI85" s="35"/>
      <c r="AJ85" s="35"/>
      <c r="AK85" s="1"/>
      <c r="AL85" s="1"/>
      <c r="AM85" s="1"/>
      <c r="AN85" s="1"/>
      <c r="AO85" s="1"/>
      <c r="AP85" s="1"/>
      <c r="AQ85" s="1"/>
      <c r="AR85" s="1"/>
      <c r="AS85" s="1"/>
      <c r="AT85" s="1"/>
      <c r="AU85" s="1"/>
      <c r="AV85" s="1"/>
      <c r="AW85" s="1"/>
      <c r="AX85" s="1"/>
      <c r="AY85" s="1"/>
      <c r="AZ85" s="7"/>
      <c r="BA85" s="7"/>
      <c r="BB85" s="7"/>
      <c r="BC85" s="7"/>
      <c r="BD85" s="1"/>
      <c r="BE85" s="1"/>
      <c r="BF85" s="1"/>
      <c r="BG85" s="1"/>
      <c r="BH85" s="1"/>
    </row>
    <row r="86" spans="1:60" s="77" customForma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35"/>
      <c r="AI86" s="35"/>
      <c r="AJ86" s="35"/>
      <c r="AK86" s="1"/>
      <c r="AL86" s="1"/>
      <c r="AM86" s="1"/>
      <c r="AN86" s="1"/>
      <c r="AO86" s="1"/>
      <c r="AP86" s="1"/>
      <c r="AQ86" s="1"/>
      <c r="AR86" s="1"/>
      <c r="AS86" s="1"/>
      <c r="AT86" s="1"/>
      <c r="AU86" s="1"/>
      <c r="AV86" s="1"/>
      <c r="AW86" s="1"/>
      <c r="AX86" s="1"/>
      <c r="AY86" s="1"/>
      <c r="AZ86" s="7"/>
      <c r="BA86" s="7"/>
      <c r="BB86" s="7"/>
      <c r="BC86" s="7"/>
      <c r="BD86" s="1"/>
      <c r="BE86" s="1"/>
      <c r="BF86" s="1"/>
      <c r="BG86" s="1"/>
      <c r="BH86" s="1"/>
    </row>
    <row r="87" spans="1:60" s="77" customForma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35"/>
      <c r="AI87" s="35"/>
      <c r="AJ87" s="35"/>
      <c r="AK87" s="1"/>
      <c r="AL87" s="1"/>
      <c r="AM87" s="1"/>
      <c r="AN87" s="1"/>
      <c r="AO87" s="1"/>
      <c r="AP87" s="1"/>
      <c r="AQ87" s="1"/>
      <c r="AR87" s="1"/>
      <c r="AS87" s="1"/>
      <c r="AT87" s="1"/>
      <c r="AU87" s="1"/>
      <c r="AV87" s="1"/>
      <c r="AW87" s="1"/>
      <c r="AX87" s="1"/>
      <c r="AY87" s="1"/>
      <c r="AZ87" s="7"/>
      <c r="BA87" s="7"/>
      <c r="BB87" s="7"/>
      <c r="BC87" s="7"/>
      <c r="BD87" s="1"/>
      <c r="BE87" s="1"/>
      <c r="BF87" s="1"/>
      <c r="BG87" s="1"/>
      <c r="BH87" s="1"/>
    </row>
    <row r="88" spans="1:60" s="77" customForma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35"/>
      <c r="AI88" s="35"/>
      <c r="AJ88" s="35"/>
      <c r="AK88" s="1"/>
      <c r="AL88" s="1"/>
      <c r="AM88" s="1"/>
      <c r="AN88" s="1"/>
      <c r="AO88" s="1"/>
      <c r="AP88" s="1"/>
      <c r="AQ88" s="1"/>
      <c r="AR88" s="1"/>
      <c r="AS88" s="1"/>
      <c r="AT88" s="1"/>
      <c r="AU88" s="1"/>
      <c r="AV88" s="1"/>
      <c r="AW88" s="1"/>
      <c r="AX88" s="1"/>
      <c r="AY88" s="1"/>
      <c r="AZ88" s="7"/>
      <c r="BA88" s="7"/>
      <c r="BB88" s="7"/>
      <c r="BC88" s="7"/>
      <c r="BD88" s="1"/>
      <c r="BE88" s="1"/>
      <c r="BF88" s="1"/>
      <c r="BG88" s="1"/>
      <c r="BH88" s="1"/>
    </row>
    <row r="89" spans="1:60" s="77" customForma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35"/>
      <c r="AI89" s="35"/>
      <c r="AJ89" s="35"/>
      <c r="AK89" s="1"/>
      <c r="AL89" s="1"/>
      <c r="AM89" s="1"/>
      <c r="AN89" s="1"/>
      <c r="AO89" s="1"/>
      <c r="AP89" s="1"/>
      <c r="AQ89" s="1"/>
      <c r="AR89" s="1"/>
      <c r="AS89" s="1"/>
      <c r="AT89" s="1"/>
      <c r="AU89" s="1"/>
      <c r="AV89" s="1"/>
      <c r="AW89" s="1"/>
      <c r="AX89" s="1"/>
      <c r="AY89" s="1"/>
      <c r="AZ89" s="7"/>
      <c r="BA89" s="7"/>
      <c r="BB89" s="7"/>
      <c r="BC89" s="7"/>
      <c r="BD89" s="1"/>
      <c r="BE89" s="1"/>
      <c r="BF89" s="1"/>
      <c r="BG89" s="1"/>
      <c r="BH89" s="1"/>
    </row>
    <row r="90" spans="1:60" s="77" customForma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35"/>
      <c r="AI90" s="35"/>
      <c r="AJ90" s="35"/>
      <c r="AK90" s="1"/>
      <c r="AL90" s="1"/>
      <c r="AM90" s="1"/>
      <c r="AN90" s="1"/>
      <c r="AO90" s="1"/>
      <c r="AP90" s="1"/>
      <c r="AQ90" s="1"/>
      <c r="AR90" s="1"/>
      <c r="AS90" s="1"/>
      <c r="AT90" s="1"/>
      <c r="AU90" s="1"/>
      <c r="AV90" s="1"/>
      <c r="AW90" s="1"/>
      <c r="AX90" s="1"/>
      <c r="AY90" s="1"/>
      <c r="AZ90" s="7"/>
      <c r="BA90" s="7"/>
      <c r="BB90" s="7"/>
      <c r="BC90" s="7"/>
      <c r="BD90" s="1"/>
      <c r="BE90" s="1"/>
      <c r="BF90" s="1"/>
      <c r="BG90" s="1"/>
      <c r="BH90" s="1"/>
    </row>
    <row r="91" spans="1:60" s="77" customForma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35"/>
      <c r="AI91" s="35"/>
      <c r="AJ91" s="35"/>
      <c r="AK91" s="1"/>
      <c r="AL91" s="1"/>
      <c r="AM91" s="1"/>
      <c r="AN91" s="1"/>
      <c r="AO91" s="1"/>
      <c r="AP91" s="1"/>
      <c r="AQ91" s="1"/>
      <c r="AR91" s="1"/>
      <c r="AS91" s="1"/>
      <c r="AT91" s="1"/>
      <c r="AU91" s="1"/>
      <c r="AV91" s="1"/>
      <c r="AW91" s="1"/>
      <c r="AX91" s="1"/>
      <c r="AY91" s="1"/>
      <c r="AZ91" s="7"/>
      <c r="BA91" s="7"/>
      <c r="BB91" s="7"/>
      <c r="BC91" s="7"/>
      <c r="BD91" s="1"/>
      <c r="BE91" s="1"/>
      <c r="BF91" s="1"/>
      <c r="BG91" s="1"/>
      <c r="BH91" s="1"/>
    </row>
    <row r="92" spans="1:60" s="77" customForma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35"/>
      <c r="AI92" s="35"/>
      <c r="AJ92" s="35"/>
      <c r="AK92" s="1"/>
      <c r="AL92" s="1"/>
      <c r="AM92" s="1"/>
      <c r="AN92" s="1"/>
      <c r="AO92" s="1"/>
      <c r="AP92" s="1"/>
      <c r="AQ92" s="1"/>
      <c r="AR92" s="1"/>
      <c r="AS92" s="1"/>
      <c r="AT92" s="1"/>
      <c r="AU92" s="1"/>
      <c r="AV92" s="1"/>
      <c r="AW92" s="1"/>
      <c r="AX92" s="1"/>
      <c r="AY92" s="1"/>
      <c r="AZ92" s="7"/>
      <c r="BA92" s="7"/>
      <c r="BB92" s="7"/>
      <c r="BC92" s="7"/>
      <c r="BD92" s="1"/>
      <c r="BE92" s="1"/>
      <c r="BF92" s="1"/>
      <c r="BG92" s="1"/>
      <c r="BH92" s="1"/>
    </row>
    <row r="93" spans="1:60" s="77" customForma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35"/>
      <c r="AI93" s="35"/>
      <c r="AJ93" s="35"/>
      <c r="AK93" s="1"/>
      <c r="AL93" s="1"/>
      <c r="AM93" s="1"/>
      <c r="AN93" s="1"/>
      <c r="AO93" s="1"/>
      <c r="AP93" s="1"/>
      <c r="AQ93" s="1"/>
      <c r="AR93" s="1"/>
      <c r="AS93" s="1"/>
      <c r="AT93" s="1"/>
      <c r="AU93" s="1"/>
      <c r="AV93" s="1"/>
      <c r="AW93" s="1"/>
      <c r="AX93" s="1"/>
      <c r="AY93" s="1"/>
      <c r="AZ93" s="7"/>
      <c r="BA93" s="7"/>
      <c r="BB93" s="7"/>
      <c r="BC93" s="7"/>
      <c r="BD93" s="1"/>
      <c r="BE93" s="1"/>
      <c r="BF93" s="1"/>
      <c r="BG93" s="1"/>
      <c r="BH93" s="1"/>
    </row>
    <row r="94" spans="1:60" s="77" customForma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35"/>
      <c r="AI94" s="35"/>
      <c r="AJ94" s="35"/>
      <c r="AK94" s="1"/>
      <c r="AL94" s="1"/>
      <c r="AM94" s="1"/>
      <c r="AN94" s="1"/>
      <c r="AO94" s="1"/>
      <c r="AP94" s="1"/>
      <c r="AQ94" s="1"/>
      <c r="AR94" s="1"/>
      <c r="AS94" s="1"/>
      <c r="AT94" s="1"/>
      <c r="AU94" s="1"/>
      <c r="AV94" s="1"/>
      <c r="AW94" s="1"/>
      <c r="AX94" s="1"/>
      <c r="AY94" s="1"/>
      <c r="AZ94" s="7"/>
      <c r="BA94" s="7"/>
      <c r="BB94" s="7"/>
      <c r="BC94" s="7"/>
      <c r="BD94" s="1"/>
      <c r="BE94" s="1"/>
      <c r="BF94" s="1"/>
      <c r="BG94" s="1"/>
      <c r="BH94" s="1"/>
    </row>
    <row r="95" spans="1:60" s="77" customForma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35"/>
      <c r="AI95" s="35"/>
      <c r="AJ95" s="35"/>
      <c r="AK95" s="1"/>
      <c r="AL95" s="1"/>
      <c r="AM95" s="1"/>
      <c r="AN95" s="1"/>
      <c r="AO95" s="1"/>
      <c r="AP95" s="1"/>
      <c r="AQ95" s="1"/>
      <c r="AR95" s="1"/>
      <c r="AS95" s="1"/>
      <c r="AT95" s="1"/>
      <c r="AU95" s="1"/>
      <c r="AV95" s="1"/>
      <c r="AW95" s="1"/>
      <c r="AX95" s="1"/>
      <c r="AY95" s="1"/>
      <c r="AZ95" s="7"/>
      <c r="BA95" s="7"/>
      <c r="BB95" s="7"/>
      <c r="BC95" s="7"/>
      <c r="BD95" s="1"/>
      <c r="BE95" s="1"/>
      <c r="BF95" s="1"/>
      <c r="BG95" s="1"/>
      <c r="BH95" s="1"/>
    </row>
    <row r="96" spans="1:60" s="77" customForma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35"/>
      <c r="AI96" s="35"/>
      <c r="AJ96" s="35"/>
      <c r="AK96" s="1"/>
      <c r="AL96" s="1"/>
      <c r="AM96" s="1"/>
      <c r="AN96" s="1"/>
      <c r="AO96" s="1"/>
      <c r="AP96" s="1"/>
      <c r="AQ96" s="1"/>
      <c r="AR96" s="1"/>
      <c r="AS96" s="1"/>
      <c r="AT96" s="1"/>
      <c r="AU96" s="1"/>
      <c r="AV96" s="1"/>
      <c r="AW96" s="1"/>
      <c r="AX96" s="1"/>
      <c r="AY96" s="1"/>
      <c r="AZ96" s="7"/>
      <c r="BA96" s="7"/>
      <c r="BB96" s="7"/>
      <c r="BC96" s="7"/>
      <c r="BD96" s="1"/>
      <c r="BE96" s="1"/>
      <c r="BF96" s="1"/>
      <c r="BG96" s="1"/>
      <c r="BH96" s="1"/>
    </row>
    <row r="97" spans="1:60" s="77" customForma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35"/>
      <c r="AI97" s="35"/>
      <c r="AJ97" s="35"/>
      <c r="AK97" s="1"/>
      <c r="AL97" s="1"/>
      <c r="AM97" s="1"/>
      <c r="AN97" s="1"/>
      <c r="AO97" s="1"/>
      <c r="AP97" s="1"/>
      <c r="AQ97" s="1"/>
      <c r="AR97" s="1"/>
      <c r="AS97" s="1"/>
      <c r="AT97" s="1"/>
      <c r="AU97" s="1"/>
      <c r="AV97" s="1"/>
      <c r="AW97" s="1"/>
      <c r="AX97" s="1"/>
      <c r="AY97" s="1"/>
      <c r="AZ97" s="7"/>
      <c r="BA97" s="7"/>
      <c r="BB97" s="7"/>
      <c r="BC97" s="7"/>
      <c r="BD97" s="1"/>
      <c r="BE97" s="1"/>
      <c r="BF97" s="1"/>
      <c r="BG97" s="1"/>
      <c r="BH97" s="1"/>
    </row>
    <row r="98" spans="1:60" s="77" customForma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35"/>
      <c r="AI98" s="35"/>
      <c r="AJ98" s="35"/>
      <c r="AK98" s="1"/>
      <c r="AL98" s="1"/>
      <c r="AM98" s="1"/>
      <c r="AN98" s="1"/>
      <c r="AO98" s="1"/>
      <c r="AP98" s="1"/>
      <c r="AQ98" s="1"/>
      <c r="AR98" s="1"/>
      <c r="AS98" s="1"/>
      <c r="AT98" s="1"/>
      <c r="AU98" s="1"/>
      <c r="AV98" s="1"/>
      <c r="AW98" s="1"/>
      <c r="AX98" s="1"/>
      <c r="AY98" s="1"/>
      <c r="AZ98" s="7"/>
      <c r="BA98" s="7"/>
      <c r="BB98" s="7"/>
      <c r="BC98" s="7"/>
      <c r="BD98" s="1"/>
      <c r="BE98" s="1"/>
      <c r="BF98" s="1"/>
      <c r="BG98" s="1"/>
      <c r="BH98" s="1"/>
    </row>
    <row r="99" spans="1:60" s="77" customForma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35"/>
      <c r="AI99" s="35"/>
      <c r="AJ99" s="35"/>
      <c r="AK99" s="1"/>
      <c r="AL99" s="1"/>
      <c r="AM99" s="1"/>
      <c r="AN99" s="1"/>
      <c r="AO99" s="1"/>
      <c r="AP99" s="1"/>
      <c r="AQ99" s="1"/>
      <c r="AR99" s="1"/>
      <c r="AS99" s="1"/>
      <c r="AT99" s="1"/>
      <c r="AU99" s="1"/>
      <c r="AV99" s="1"/>
      <c r="AW99" s="1"/>
      <c r="AX99" s="1"/>
      <c r="AY99" s="1"/>
      <c r="AZ99" s="7"/>
      <c r="BA99" s="7"/>
      <c r="BB99" s="7"/>
      <c r="BC99" s="7"/>
      <c r="BD99" s="1"/>
      <c r="BE99" s="1"/>
      <c r="BF99" s="1"/>
      <c r="BG99" s="1"/>
      <c r="BH99" s="1"/>
    </row>
    <row r="100" spans="1:60" s="77" customForma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35"/>
      <c r="AI100" s="35"/>
      <c r="AJ100" s="35"/>
      <c r="AK100" s="1"/>
      <c r="AL100" s="1"/>
      <c r="AM100" s="1"/>
      <c r="AN100" s="1"/>
      <c r="AO100" s="1"/>
      <c r="AP100" s="1"/>
      <c r="AQ100" s="1"/>
      <c r="AR100" s="1"/>
      <c r="AS100" s="1"/>
      <c r="AT100" s="1"/>
      <c r="AU100" s="1"/>
      <c r="AV100" s="1"/>
      <c r="AW100" s="1"/>
      <c r="AX100" s="1"/>
      <c r="AY100" s="1"/>
      <c r="AZ100" s="7"/>
      <c r="BA100" s="7"/>
      <c r="BB100" s="7"/>
      <c r="BC100" s="7"/>
      <c r="BD100" s="1"/>
      <c r="BE100" s="1"/>
      <c r="BF100" s="1"/>
      <c r="BG100" s="1"/>
      <c r="BH100" s="1"/>
    </row>
    <row r="101" spans="1:60" s="77" customForma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35"/>
      <c r="AI101" s="35"/>
      <c r="AJ101" s="35"/>
      <c r="AK101" s="1"/>
      <c r="AL101" s="1"/>
      <c r="AM101" s="1"/>
      <c r="AN101" s="1"/>
      <c r="AO101" s="1"/>
      <c r="AP101" s="1"/>
      <c r="AQ101" s="1"/>
      <c r="AR101" s="1"/>
      <c r="AS101" s="1"/>
      <c r="AT101" s="1"/>
      <c r="AU101" s="1"/>
      <c r="AV101" s="1"/>
      <c r="AW101" s="1"/>
      <c r="AX101" s="1"/>
      <c r="AY101" s="1"/>
      <c r="AZ101" s="7"/>
      <c r="BA101" s="7"/>
      <c r="BB101" s="7"/>
      <c r="BC101" s="7"/>
      <c r="BD101" s="1"/>
      <c r="BE101" s="1"/>
      <c r="BF101" s="1"/>
      <c r="BG101" s="1"/>
      <c r="BH101" s="1"/>
    </row>
    <row r="102" spans="1:60" s="77" customForma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35"/>
      <c r="AI102" s="35"/>
      <c r="AJ102" s="35"/>
      <c r="AK102" s="1"/>
      <c r="AL102" s="1"/>
      <c r="AM102" s="1"/>
      <c r="AN102" s="1"/>
      <c r="AO102" s="1"/>
      <c r="AP102" s="1"/>
      <c r="AQ102" s="1"/>
      <c r="AR102" s="1"/>
      <c r="AS102" s="1"/>
      <c r="AT102" s="1"/>
      <c r="AU102" s="1"/>
      <c r="AV102" s="1"/>
      <c r="AW102" s="1"/>
      <c r="AX102" s="1"/>
      <c r="AY102" s="1"/>
      <c r="AZ102" s="7"/>
      <c r="BA102" s="7"/>
      <c r="BB102" s="7"/>
      <c r="BC102" s="7"/>
      <c r="BD102" s="1"/>
      <c r="BE102" s="1"/>
      <c r="BF102" s="1"/>
      <c r="BG102" s="1"/>
      <c r="BH102" s="1"/>
    </row>
    <row r="103" spans="1:60" s="77" customForma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35"/>
      <c r="AI103" s="35"/>
      <c r="AJ103" s="35"/>
      <c r="AK103" s="1"/>
      <c r="AL103" s="1"/>
      <c r="AM103" s="1"/>
      <c r="AN103" s="1"/>
      <c r="AO103" s="1"/>
      <c r="AP103" s="1"/>
      <c r="AQ103" s="1"/>
      <c r="AR103" s="1"/>
      <c r="AS103" s="1"/>
      <c r="AT103" s="1"/>
      <c r="AU103" s="1"/>
      <c r="AV103" s="1"/>
      <c r="AW103" s="1"/>
      <c r="AX103" s="1"/>
      <c r="AY103" s="1"/>
      <c r="AZ103" s="7"/>
      <c r="BA103" s="7"/>
      <c r="BB103" s="7"/>
      <c r="BC103" s="7"/>
      <c r="BD103" s="1"/>
      <c r="BE103" s="1"/>
      <c r="BF103" s="1"/>
      <c r="BG103" s="1"/>
      <c r="BH103" s="1"/>
    </row>
    <row r="104" spans="1:60" s="77" customForma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35"/>
      <c r="AI104" s="35"/>
      <c r="AJ104" s="35"/>
      <c r="AK104" s="1"/>
      <c r="AL104" s="1"/>
      <c r="AM104" s="1"/>
      <c r="AN104" s="1"/>
      <c r="AO104" s="1"/>
      <c r="AP104" s="1"/>
      <c r="AQ104" s="1"/>
      <c r="AR104" s="1"/>
      <c r="AS104" s="1"/>
      <c r="AT104" s="1"/>
      <c r="AU104" s="1"/>
      <c r="AV104" s="1"/>
      <c r="AW104" s="1"/>
      <c r="AX104" s="1"/>
      <c r="AY104" s="1"/>
      <c r="AZ104" s="7"/>
      <c r="BA104" s="7"/>
      <c r="BB104" s="7"/>
      <c r="BC104" s="7"/>
      <c r="BD104" s="1"/>
      <c r="BE104" s="1"/>
      <c r="BF104" s="1"/>
      <c r="BG104" s="1"/>
      <c r="BH104" s="1"/>
    </row>
    <row r="105" spans="1:60" s="77" customForma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35"/>
      <c r="AI105" s="35"/>
      <c r="AJ105" s="35"/>
      <c r="AK105" s="1"/>
      <c r="AL105" s="1"/>
      <c r="AM105" s="1"/>
      <c r="AN105" s="1"/>
      <c r="AO105" s="1"/>
      <c r="AP105" s="1"/>
      <c r="AQ105" s="1"/>
      <c r="AR105" s="1"/>
      <c r="AS105" s="1"/>
      <c r="AT105" s="1"/>
      <c r="AU105" s="1"/>
      <c r="AV105" s="1"/>
      <c r="AW105" s="1"/>
      <c r="AX105" s="1"/>
      <c r="AY105" s="1"/>
      <c r="AZ105" s="7"/>
      <c r="BA105" s="7"/>
      <c r="BB105" s="7"/>
      <c r="BC105" s="7"/>
      <c r="BD105" s="1"/>
      <c r="BE105" s="1"/>
      <c r="BF105" s="1"/>
      <c r="BG105" s="1"/>
      <c r="BH105" s="1"/>
    </row>
    <row r="106" spans="1:60" s="77" customForma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35"/>
      <c r="AI106" s="35"/>
      <c r="AJ106" s="35"/>
      <c r="AK106" s="1"/>
      <c r="AL106" s="1"/>
      <c r="AM106" s="1"/>
      <c r="AN106" s="1"/>
      <c r="AO106" s="1"/>
      <c r="AP106" s="1"/>
      <c r="AQ106" s="1"/>
      <c r="AR106" s="1"/>
      <c r="AS106" s="1"/>
      <c r="AT106" s="1"/>
      <c r="AU106" s="1"/>
      <c r="AV106" s="1"/>
      <c r="AW106" s="1"/>
      <c r="AX106" s="1"/>
      <c r="AY106" s="1"/>
      <c r="AZ106" s="7"/>
      <c r="BA106" s="7"/>
      <c r="BB106" s="7"/>
      <c r="BC106" s="7"/>
      <c r="BD106" s="1"/>
      <c r="BE106" s="1"/>
      <c r="BF106" s="1"/>
      <c r="BG106" s="1"/>
      <c r="BH106" s="1"/>
    </row>
    <row r="107" spans="1:60" s="77" customForma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35"/>
      <c r="AI107" s="35"/>
      <c r="AJ107" s="35"/>
      <c r="AK107" s="1"/>
      <c r="AL107" s="1"/>
      <c r="AM107" s="1"/>
      <c r="AN107" s="1"/>
      <c r="AO107" s="1"/>
      <c r="AP107" s="1"/>
      <c r="AQ107" s="1"/>
      <c r="AR107" s="1"/>
      <c r="AS107" s="1"/>
      <c r="AT107" s="1"/>
      <c r="AU107" s="1"/>
      <c r="AV107" s="1"/>
      <c r="AW107" s="1"/>
      <c r="AX107" s="1"/>
      <c r="AY107" s="1"/>
      <c r="AZ107" s="7"/>
      <c r="BA107" s="7"/>
      <c r="BB107" s="7"/>
      <c r="BC107" s="7"/>
      <c r="BD107" s="1"/>
      <c r="BE107" s="1"/>
      <c r="BF107" s="1"/>
      <c r="BG107" s="1"/>
      <c r="BH107" s="1"/>
    </row>
    <row r="108" spans="1:60" s="77" customForma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35"/>
      <c r="AI108" s="35"/>
      <c r="AJ108" s="35"/>
      <c r="AK108" s="1"/>
      <c r="AL108" s="1"/>
      <c r="AM108" s="1"/>
      <c r="AN108" s="1"/>
      <c r="AO108" s="1"/>
      <c r="AP108" s="1"/>
      <c r="AQ108" s="1"/>
      <c r="AR108" s="1"/>
      <c r="AS108" s="1"/>
      <c r="AT108" s="1"/>
      <c r="AU108" s="1"/>
      <c r="AV108" s="1"/>
      <c r="AW108" s="1"/>
      <c r="AX108" s="1"/>
      <c r="AY108" s="1"/>
      <c r="AZ108" s="7"/>
      <c r="BA108" s="7"/>
      <c r="BB108" s="7"/>
      <c r="BC108" s="7"/>
      <c r="BD108" s="1"/>
      <c r="BE108" s="1"/>
      <c r="BF108" s="1"/>
      <c r="BG108" s="1"/>
      <c r="BH108" s="1"/>
    </row>
    <row r="109" spans="1:60" s="77" customForma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35"/>
      <c r="AI109" s="35"/>
      <c r="AJ109" s="35"/>
      <c r="AK109" s="1"/>
      <c r="AL109" s="1"/>
      <c r="AM109" s="1"/>
      <c r="AN109" s="1"/>
      <c r="AO109" s="1"/>
      <c r="AP109" s="1"/>
      <c r="AQ109" s="1"/>
      <c r="AR109" s="1"/>
      <c r="AS109" s="1"/>
      <c r="AT109" s="1"/>
      <c r="AU109" s="1"/>
      <c r="AV109" s="1"/>
      <c r="AW109" s="1"/>
      <c r="AX109" s="1"/>
      <c r="AY109" s="1"/>
      <c r="AZ109" s="7"/>
      <c r="BA109" s="7"/>
      <c r="BB109" s="7"/>
      <c r="BC109" s="7"/>
      <c r="BD109" s="1"/>
      <c r="BE109" s="1"/>
      <c r="BF109" s="1"/>
      <c r="BG109" s="1"/>
      <c r="BH109" s="1"/>
    </row>
    <row r="110" spans="1:60" s="77" customForma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35"/>
      <c r="AI110" s="35"/>
      <c r="AJ110" s="35"/>
      <c r="AK110" s="1"/>
      <c r="AL110" s="1"/>
      <c r="AM110" s="1"/>
      <c r="AN110" s="1"/>
      <c r="AO110" s="1"/>
      <c r="AP110" s="1"/>
      <c r="AQ110" s="1"/>
      <c r="AR110" s="1"/>
      <c r="AS110" s="1"/>
      <c r="AT110" s="1"/>
      <c r="AU110" s="1"/>
      <c r="AV110" s="1"/>
      <c r="AW110" s="1"/>
      <c r="AX110" s="1"/>
      <c r="AY110" s="1"/>
      <c r="AZ110" s="7"/>
      <c r="BA110" s="7"/>
      <c r="BB110" s="7"/>
      <c r="BC110" s="7"/>
      <c r="BD110" s="1"/>
      <c r="BE110" s="1"/>
      <c r="BF110" s="1"/>
      <c r="BG110" s="1"/>
      <c r="BH110" s="1"/>
    </row>
    <row r="111" spans="1:60" s="77" customForma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35"/>
      <c r="AI111" s="35"/>
      <c r="AJ111" s="35"/>
      <c r="AK111" s="1"/>
      <c r="AL111" s="1"/>
      <c r="AM111" s="1"/>
      <c r="AN111" s="1"/>
      <c r="AO111" s="1"/>
      <c r="AP111" s="1"/>
      <c r="AQ111" s="1"/>
      <c r="AR111" s="1"/>
      <c r="AS111" s="1"/>
      <c r="AT111" s="1"/>
      <c r="AU111" s="1"/>
      <c r="AV111" s="1"/>
      <c r="AW111" s="1"/>
      <c r="AX111" s="1"/>
      <c r="AY111" s="1"/>
      <c r="AZ111" s="7"/>
      <c r="BA111" s="7"/>
      <c r="BB111" s="7"/>
      <c r="BC111" s="7"/>
      <c r="BD111" s="1"/>
      <c r="BE111" s="1"/>
      <c r="BF111" s="1"/>
      <c r="BG111" s="1"/>
      <c r="BH111" s="1"/>
    </row>
    <row r="112" spans="1:60" s="77" customForma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35"/>
      <c r="AI112" s="35"/>
      <c r="AJ112" s="35"/>
      <c r="AK112" s="1"/>
      <c r="AL112" s="1"/>
      <c r="AM112" s="1"/>
      <c r="AN112" s="1"/>
      <c r="AO112" s="1"/>
      <c r="AP112" s="1"/>
      <c r="AQ112" s="1"/>
      <c r="AR112" s="1"/>
      <c r="AS112" s="1"/>
      <c r="AT112" s="1"/>
      <c r="AU112" s="1"/>
      <c r="AV112" s="1"/>
      <c r="AW112" s="1"/>
      <c r="AX112" s="1"/>
      <c r="AY112" s="1"/>
      <c r="AZ112" s="7"/>
      <c r="BA112" s="7"/>
      <c r="BB112" s="7"/>
      <c r="BC112" s="7"/>
      <c r="BD112" s="1"/>
      <c r="BE112" s="1"/>
      <c r="BF112" s="1"/>
      <c r="BG112" s="1"/>
      <c r="BH112" s="1"/>
    </row>
    <row r="113" spans="1:60" s="77" customForma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35"/>
      <c r="AI113" s="35"/>
      <c r="AJ113" s="35"/>
      <c r="AK113" s="1"/>
      <c r="AL113" s="1"/>
      <c r="AM113" s="1"/>
      <c r="AN113" s="1"/>
      <c r="AO113" s="1"/>
      <c r="AP113" s="1"/>
      <c r="AQ113" s="1"/>
      <c r="AR113" s="1"/>
      <c r="AS113" s="1"/>
      <c r="AT113" s="1"/>
      <c r="AU113" s="1"/>
      <c r="AV113" s="1"/>
      <c r="AW113" s="1"/>
      <c r="AX113" s="1"/>
      <c r="AY113" s="1"/>
      <c r="AZ113" s="7"/>
      <c r="BA113" s="7"/>
      <c r="BB113" s="7"/>
      <c r="BC113" s="7"/>
      <c r="BD113" s="1"/>
      <c r="BE113" s="1"/>
      <c r="BF113" s="1"/>
      <c r="BG113" s="1"/>
      <c r="BH113" s="1"/>
    </row>
    <row r="114" spans="1:60" s="77" customForma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35"/>
      <c r="AI114" s="35"/>
      <c r="AJ114" s="35"/>
      <c r="AK114" s="1"/>
      <c r="AL114" s="1"/>
      <c r="AM114" s="1"/>
      <c r="AN114" s="1"/>
      <c r="AO114" s="1"/>
      <c r="AP114" s="1"/>
      <c r="AQ114" s="1"/>
      <c r="AR114" s="1"/>
      <c r="AS114" s="1"/>
      <c r="AT114" s="1"/>
      <c r="AU114" s="1"/>
      <c r="AV114" s="1"/>
      <c r="AW114" s="1"/>
      <c r="AX114" s="1"/>
      <c r="AY114" s="1"/>
      <c r="AZ114" s="7"/>
      <c r="BA114" s="7"/>
      <c r="BB114" s="7"/>
      <c r="BC114" s="7"/>
      <c r="BD114" s="1"/>
      <c r="BE114" s="1"/>
      <c r="BF114" s="1"/>
      <c r="BG114" s="1"/>
      <c r="BH114" s="1"/>
    </row>
    <row r="115" spans="1:60" s="77" customForma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35"/>
      <c r="AI115" s="35"/>
      <c r="AJ115" s="35"/>
      <c r="AK115" s="1"/>
      <c r="AL115" s="1"/>
      <c r="AM115" s="1"/>
      <c r="AN115" s="1"/>
      <c r="AO115" s="1"/>
      <c r="AP115" s="1"/>
      <c r="AQ115" s="1"/>
      <c r="AR115" s="1"/>
      <c r="AS115" s="1"/>
      <c r="AT115" s="1"/>
      <c r="AU115" s="1"/>
      <c r="AV115" s="1"/>
      <c r="AW115" s="1"/>
      <c r="AX115" s="1"/>
      <c r="AY115" s="1"/>
      <c r="AZ115" s="7"/>
      <c r="BA115" s="7"/>
      <c r="BB115" s="7"/>
      <c r="BC115" s="7"/>
      <c r="BD115" s="1"/>
      <c r="BE115" s="1"/>
      <c r="BF115" s="1"/>
      <c r="BG115" s="1"/>
      <c r="BH115" s="1"/>
    </row>
    <row r="116" spans="1:60" s="77" customForma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35"/>
      <c r="AI116" s="35"/>
      <c r="AJ116" s="35"/>
      <c r="AK116" s="1"/>
      <c r="AL116" s="1"/>
      <c r="AM116" s="1"/>
      <c r="AN116" s="1"/>
      <c r="AO116" s="1"/>
      <c r="AP116" s="1"/>
      <c r="AQ116" s="1"/>
      <c r="AR116" s="1"/>
      <c r="AS116" s="1"/>
      <c r="AT116" s="1"/>
      <c r="AU116" s="1"/>
      <c r="AV116" s="1"/>
      <c r="AW116" s="1"/>
      <c r="AX116" s="1"/>
      <c r="AY116" s="1"/>
      <c r="AZ116" s="7"/>
      <c r="BA116" s="7"/>
      <c r="BB116" s="7"/>
      <c r="BC116" s="7"/>
      <c r="BD116" s="1"/>
      <c r="BE116" s="1"/>
      <c r="BF116" s="1"/>
      <c r="BG116" s="1"/>
      <c r="BH116" s="1"/>
    </row>
    <row r="117" spans="1:60" s="77" customForma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35"/>
      <c r="AI117" s="35"/>
      <c r="AJ117" s="35"/>
      <c r="AK117" s="1"/>
      <c r="AL117" s="1"/>
      <c r="AM117" s="1"/>
      <c r="AN117" s="1"/>
      <c r="AO117" s="1"/>
      <c r="AP117" s="1"/>
      <c r="AQ117" s="1"/>
      <c r="AR117" s="1"/>
      <c r="AS117" s="1"/>
      <c r="AT117" s="1"/>
      <c r="AU117" s="1"/>
      <c r="AV117" s="1"/>
      <c r="AW117" s="1"/>
      <c r="AX117" s="1"/>
      <c r="AY117" s="1"/>
      <c r="AZ117" s="7"/>
      <c r="BA117" s="7"/>
      <c r="BB117" s="7"/>
      <c r="BC117" s="7"/>
      <c r="BD117" s="1"/>
      <c r="BE117" s="1"/>
      <c r="BF117" s="1"/>
      <c r="BG117" s="1"/>
      <c r="BH117" s="1"/>
    </row>
    <row r="118" spans="1:60" s="77" customForma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35"/>
      <c r="AI118" s="35"/>
      <c r="AJ118" s="35"/>
      <c r="AK118" s="1"/>
      <c r="AL118" s="1"/>
      <c r="AM118" s="1"/>
      <c r="AN118" s="1"/>
      <c r="AO118" s="1"/>
      <c r="AP118" s="1"/>
      <c r="AQ118" s="1"/>
      <c r="AR118" s="1"/>
      <c r="AS118" s="1"/>
      <c r="AT118" s="1"/>
      <c r="AU118" s="1"/>
      <c r="AV118" s="1"/>
      <c r="AW118" s="1"/>
      <c r="AX118" s="1"/>
      <c r="AY118" s="1"/>
      <c r="AZ118" s="7"/>
      <c r="BA118" s="7"/>
      <c r="BB118" s="7"/>
      <c r="BC118" s="7"/>
      <c r="BD118" s="1"/>
      <c r="BE118" s="1"/>
      <c r="BF118" s="1"/>
      <c r="BG118" s="1"/>
      <c r="BH118" s="1"/>
    </row>
    <row r="119" spans="1:60" s="77" customForma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35"/>
      <c r="AI119" s="35"/>
      <c r="AJ119" s="35"/>
      <c r="AK119" s="1"/>
      <c r="AL119" s="1"/>
      <c r="AM119" s="1"/>
      <c r="AN119" s="1"/>
      <c r="AO119" s="1"/>
      <c r="AP119" s="1"/>
      <c r="AQ119" s="1"/>
      <c r="AR119" s="1"/>
      <c r="AS119" s="1"/>
      <c r="AT119" s="1"/>
      <c r="AU119" s="1"/>
      <c r="AV119" s="1"/>
      <c r="AW119" s="1"/>
      <c r="AX119" s="1"/>
      <c r="AY119" s="1"/>
      <c r="AZ119" s="7"/>
      <c r="BA119" s="7"/>
      <c r="BB119" s="7"/>
      <c r="BC119" s="7"/>
      <c r="BD119" s="1"/>
      <c r="BE119" s="1"/>
      <c r="BF119" s="1"/>
      <c r="BG119" s="1"/>
      <c r="BH119" s="1"/>
    </row>
    <row r="120" spans="1:60" s="77" customForma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35"/>
      <c r="AI120" s="35"/>
      <c r="AJ120" s="35"/>
      <c r="AK120" s="1"/>
      <c r="AL120" s="1"/>
      <c r="AM120" s="1"/>
      <c r="AN120" s="1"/>
      <c r="AO120" s="1"/>
      <c r="AP120" s="1"/>
      <c r="AQ120" s="1"/>
      <c r="AR120" s="1"/>
      <c r="AS120" s="1"/>
      <c r="AT120" s="1"/>
      <c r="AU120" s="1"/>
      <c r="AV120" s="1"/>
      <c r="AW120" s="1"/>
      <c r="AX120" s="1"/>
      <c r="AY120" s="1"/>
      <c r="AZ120" s="7"/>
      <c r="BA120" s="7"/>
      <c r="BB120" s="7"/>
      <c r="BC120" s="7"/>
      <c r="BD120" s="1"/>
      <c r="BE120" s="1"/>
      <c r="BF120" s="1"/>
      <c r="BG120" s="1"/>
      <c r="BH120" s="1"/>
    </row>
    <row r="121" spans="1:60" s="77" customForma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35"/>
      <c r="AI121" s="35"/>
      <c r="AJ121" s="35"/>
      <c r="AK121" s="1"/>
      <c r="AL121" s="1"/>
      <c r="AM121" s="1"/>
      <c r="AN121" s="1"/>
      <c r="AO121" s="1"/>
      <c r="AP121" s="1"/>
      <c r="AQ121" s="1"/>
      <c r="AR121" s="1"/>
      <c r="AS121" s="1"/>
      <c r="AT121" s="1"/>
      <c r="AU121" s="1"/>
      <c r="AV121" s="1"/>
      <c r="AW121" s="1"/>
      <c r="AX121" s="1"/>
      <c r="AY121" s="1"/>
      <c r="AZ121" s="7"/>
      <c r="BA121" s="7"/>
      <c r="BB121" s="7"/>
      <c r="BC121" s="7"/>
      <c r="BD121" s="1"/>
      <c r="BE121" s="1"/>
      <c r="BF121" s="1"/>
      <c r="BG121" s="1"/>
      <c r="BH121" s="1"/>
    </row>
    <row r="122" spans="1:60" s="77" customForma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35"/>
      <c r="AI122" s="35"/>
      <c r="AJ122" s="35"/>
      <c r="AK122" s="1"/>
      <c r="AL122" s="1"/>
      <c r="AM122" s="1"/>
      <c r="AN122" s="1"/>
      <c r="AO122" s="1"/>
      <c r="AP122" s="1"/>
      <c r="AQ122" s="1"/>
      <c r="AR122" s="1"/>
      <c r="AS122" s="1"/>
      <c r="AT122" s="1"/>
      <c r="AU122" s="1"/>
      <c r="AV122" s="1"/>
      <c r="AW122" s="1"/>
      <c r="AX122" s="1"/>
      <c r="AY122" s="1"/>
      <c r="AZ122" s="7"/>
      <c r="BA122" s="7"/>
      <c r="BB122" s="7"/>
      <c r="BC122" s="7"/>
      <c r="BD122" s="1"/>
      <c r="BE122" s="1"/>
      <c r="BF122" s="1"/>
      <c r="BG122" s="1"/>
      <c r="BH122" s="1"/>
    </row>
    <row r="123" spans="1:60" s="77" customForma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35"/>
      <c r="AI123" s="35"/>
      <c r="AJ123" s="35"/>
      <c r="AK123" s="1"/>
      <c r="AL123" s="1"/>
      <c r="AM123" s="1"/>
      <c r="AN123" s="1"/>
      <c r="AO123" s="1"/>
      <c r="AP123" s="1"/>
      <c r="AQ123" s="1"/>
      <c r="AR123" s="1"/>
      <c r="AS123" s="1"/>
      <c r="AT123" s="1"/>
      <c r="AU123" s="1"/>
      <c r="AV123" s="1"/>
      <c r="AW123" s="1"/>
      <c r="AX123" s="1"/>
      <c r="AY123" s="1"/>
      <c r="AZ123" s="7"/>
      <c r="BA123" s="7"/>
      <c r="BB123" s="7"/>
      <c r="BC123" s="7"/>
      <c r="BD123" s="1"/>
      <c r="BE123" s="1"/>
      <c r="BF123" s="1"/>
      <c r="BG123" s="1"/>
      <c r="BH123" s="1"/>
    </row>
    <row r="124" spans="1:60" s="77" customForma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35"/>
      <c r="AI124" s="35"/>
      <c r="AJ124" s="35"/>
      <c r="AK124" s="1"/>
      <c r="AL124" s="1"/>
      <c r="AM124" s="1"/>
      <c r="AN124" s="1"/>
      <c r="AO124" s="1"/>
      <c r="AP124" s="1"/>
      <c r="AQ124" s="1"/>
      <c r="AR124" s="1"/>
      <c r="AS124" s="1"/>
      <c r="AT124" s="1"/>
      <c r="AU124" s="1"/>
      <c r="AV124" s="1"/>
      <c r="AW124" s="1"/>
      <c r="AX124" s="1"/>
      <c r="AY124" s="1"/>
      <c r="AZ124" s="7"/>
      <c r="BA124" s="7"/>
      <c r="BB124" s="7"/>
      <c r="BC124" s="7"/>
      <c r="BD124" s="1"/>
      <c r="BE124" s="1"/>
      <c r="BF124" s="1"/>
      <c r="BG124" s="1"/>
      <c r="BH124" s="1"/>
    </row>
    <row r="125" spans="1:60" s="77" customForma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35"/>
      <c r="AI125" s="35"/>
      <c r="AJ125" s="35"/>
      <c r="AK125" s="1"/>
      <c r="AL125" s="1"/>
      <c r="AM125" s="1"/>
      <c r="AN125" s="1"/>
      <c r="AO125" s="1"/>
      <c r="AP125" s="1"/>
      <c r="AQ125" s="1"/>
      <c r="AR125" s="1"/>
      <c r="AS125" s="1"/>
      <c r="AT125" s="1"/>
      <c r="AU125" s="1"/>
      <c r="AV125" s="1"/>
      <c r="AW125" s="1"/>
      <c r="AX125" s="1"/>
      <c r="AY125" s="1"/>
      <c r="AZ125" s="7"/>
      <c r="BA125" s="7"/>
      <c r="BB125" s="7"/>
      <c r="BC125" s="7"/>
      <c r="BD125" s="1"/>
      <c r="BE125" s="1"/>
      <c r="BF125" s="1"/>
      <c r="BG125" s="1"/>
      <c r="BH125" s="1"/>
    </row>
    <row r="126" spans="1:60" s="77" customForma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35"/>
      <c r="AI126" s="35"/>
      <c r="AJ126" s="35"/>
      <c r="AK126" s="1"/>
      <c r="AL126" s="1"/>
      <c r="AM126" s="1"/>
      <c r="AN126" s="1"/>
      <c r="AO126" s="1"/>
      <c r="AP126" s="1"/>
      <c r="AQ126" s="1"/>
      <c r="AR126" s="1"/>
      <c r="AS126" s="1"/>
      <c r="AT126" s="1"/>
      <c r="AU126" s="1"/>
      <c r="AV126" s="1"/>
      <c r="AW126" s="1"/>
      <c r="AX126" s="1"/>
      <c r="AY126" s="1"/>
      <c r="AZ126" s="7"/>
      <c r="BA126" s="7"/>
      <c r="BB126" s="7"/>
      <c r="BC126" s="7"/>
      <c r="BD126" s="1"/>
      <c r="BE126" s="1"/>
      <c r="BF126" s="1"/>
      <c r="BG126" s="1"/>
      <c r="BH126" s="1"/>
    </row>
    <row r="127" spans="1:60" s="77" customForma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35"/>
      <c r="AI127" s="35"/>
      <c r="AJ127" s="35"/>
      <c r="AK127" s="1"/>
      <c r="AL127" s="1"/>
      <c r="AM127" s="1"/>
      <c r="AN127" s="1"/>
      <c r="AO127" s="1"/>
      <c r="AP127" s="1"/>
      <c r="AQ127" s="1"/>
      <c r="AR127" s="1"/>
      <c r="AS127" s="1"/>
      <c r="AT127" s="1"/>
      <c r="AU127" s="1"/>
      <c r="AV127" s="1"/>
      <c r="AW127" s="1"/>
      <c r="AX127" s="1"/>
      <c r="AY127" s="1"/>
      <c r="AZ127" s="7"/>
      <c r="BA127" s="7"/>
      <c r="BB127" s="7"/>
      <c r="BC127" s="7"/>
      <c r="BD127" s="1"/>
      <c r="BE127" s="1"/>
      <c r="BF127" s="1"/>
      <c r="BG127" s="1"/>
      <c r="BH127" s="1"/>
    </row>
    <row r="128" spans="1:60" s="77" customForma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35"/>
      <c r="AI128" s="35"/>
      <c r="AJ128" s="35"/>
      <c r="AK128" s="1"/>
      <c r="AL128" s="1"/>
      <c r="AM128" s="1"/>
      <c r="AN128" s="1"/>
      <c r="AO128" s="1"/>
      <c r="AP128" s="1"/>
      <c r="AQ128" s="1"/>
      <c r="AR128" s="1"/>
      <c r="AS128" s="1"/>
      <c r="AT128" s="1"/>
      <c r="AU128" s="1"/>
      <c r="AV128" s="1"/>
      <c r="AW128" s="1"/>
      <c r="AX128" s="1"/>
      <c r="AY128" s="1"/>
      <c r="AZ128" s="7"/>
      <c r="BA128" s="7"/>
      <c r="BB128" s="7"/>
      <c r="BC128" s="7"/>
      <c r="BD128" s="1"/>
      <c r="BE128" s="1"/>
      <c r="BF128" s="1"/>
      <c r="BG128" s="1"/>
      <c r="BH128" s="1"/>
    </row>
    <row r="129" spans="1:60" s="77" customForma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35"/>
      <c r="AI129" s="35"/>
      <c r="AJ129" s="35"/>
      <c r="AK129" s="1"/>
      <c r="AL129" s="1"/>
      <c r="AM129" s="1"/>
      <c r="AN129" s="1"/>
      <c r="AO129" s="1"/>
      <c r="AP129" s="1"/>
      <c r="AQ129" s="1"/>
      <c r="AR129" s="1"/>
      <c r="AS129" s="1"/>
      <c r="AT129" s="1"/>
      <c r="AU129" s="1"/>
      <c r="AV129" s="1"/>
      <c r="AW129" s="1"/>
      <c r="AX129" s="1"/>
      <c r="AY129" s="1"/>
      <c r="AZ129" s="7"/>
      <c r="BA129" s="7"/>
      <c r="BB129" s="7"/>
      <c r="BC129" s="7"/>
      <c r="BD129" s="1"/>
      <c r="BE129" s="1"/>
      <c r="BF129" s="1"/>
      <c r="BG129" s="1"/>
      <c r="BH129" s="1"/>
    </row>
    <row r="130" spans="1:60" s="77" customForma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35"/>
      <c r="AI130" s="35"/>
      <c r="AJ130" s="35"/>
      <c r="AK130" s="1"/>
      <c r="AL130" s="1"/>
      <c r="AM130" s="1"/>
      <c r="AN130" s="1"/>
      <c r="AO130" s="1"/>
      <c r="AP130" s="1"/>
      <c r="AQ130" s="1"/>
      <c r="AR130" s="1"/>
      <c r="AS130" s="1"/>
      <c r="AT130" s="1"/>
      <c r="AU130" s="1"/>
      <c r="AV130" s="1"/>
      <c r="AW130" s="1"/>
      <c r="AX130" s="1"/>
      <c r="AY130" s="1"/>
      <c r="AZ130" s="7"/>
      <c r="BA130" s="7"/>
      <c r="BB130" s="7"/>
      <c r="BC130" s="7"/>
      <c r="BD130" s="1"/>
      <c r="BE130" s="1"/>
      <c r="BF130" s="1"/>
      <c r="BG130" s="1"/>
      <c r="BH130" s="1"/>
    </row>
    <row r="131" spans="1:60" s="77" customForma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35"/>
      <c r="AI131" s="35"/>
      <c r="AJ131" s="35"/>
      <c r="AK131" s="1"/>
      <c r="AL131" s="1"/>
      <c r="AM131" s="1"/>
      <c r="AN131" s="1"/>
      <c r="AO131" s="1"/>
      <c r="AP131" s="1"/>
      <c r="AQ131" s="1"/>
      <c r="AR131" s="1"/>
      <c r="AS131" s="1"/>
      <c r="AT131" s="1"/>
      <c r="AU131" s="1"/>
      <c r="AV131" s="1"/>
      <c r="AW131" s="1"/>
      <c r="AX131" s="1"/>
      <c r="AY131" s="1"/>
      <c r="AZ131" s="7"/>
      <c r="BA131" s="7"/>
      <c r="BB131" s="7"/>
      <c r="BC131" s="7"/>
      <c r="BD131" s="1"/>
      <c r="BE131" s="1"/>
      <c r="BF131" s="1"/>
      <c r="BG131" s="1"/>
      <c r="BH131" s="1"/>
    </row>
    <row r="132" spans="1:60" s="77" customForma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35"/>
      <c r="AI132" s="35"/>
      <c r="AJ132" s="35"/>
      <c r="AK132" s="1"/>
      <c r="AL132" s="1"/>
      <c r="AM132" s="1"/>
      <c r="AN132" s="1"/>
      <c r="AO132" s="1"/>
      <c r="AP132" s="1"/>
      <c r="AQ132" s="1"/>
      <c r="AR132" s="1"/>
      <c r="AS132" s="1"/>
      <c r="AT132" s="1"/>
      <c r="AU132" s="1"/>
      <c r="AV132" s="1"/>
      <c r="AW132" s="1"/>
      <c r="AX132" s="1"/>
      <c r="AY132" s="1"/>
      <c r="AZ132" s="7"/>
      <c r="BA132" s="7"/>
      <c r="BB132" s="7"/>
      <c r="BC132" s="7"/>
      <c r="BD132" s="1"/>
      <c r="BE132" s="1"/>
      <c r="BF132" s="1"/>
      <c r="BG132" s="1"/>
      <c r="BH132" s="1"/>
    </row>
    <row r="133" spans="1:60" s="77" customForma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35"/>
      <c r="AI133" s="35"/>
      <c r="AJ133" s="35"/>
      <c r="AK133" s="1"/>
      <c r="AL133" s="1"/>
      <c r="AM133" s="1"/>
      <c r="AN133" s="1"/>
      <c r="AO133" s="1"/>
      <c r="AP133" s="1"/>
      <c r="AQ133" s="1"/>
      <c r="AR133" s="1"/>
      <c r="AS133" s="1"/>
      <c r="AT133" s="1"/>
      <c r="AU133" s="1"/>
      <c r="AV133" s="1"/>
      <c r="AW133" s="1"/>
      <c r="AX133" s="1"/>
      <c r="AY133" s="1"/>
      <c r="AZ133" s="7"/>
      <c r="BA133" s="7"/>
      <c r="BB133" s="7"/>
      <c r="BC133" s="7"/>
      <c r="BD133" s="1"/>
      <c r="BE133" s="1"/>
      <c r="BF133" s="1"/>
      <c r="BG133" s="1"/>
      <c r="BH133" s="1"/>
    </row>
    <row r="134" spans="1:60" s="77" customForma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35"/>
      <c r="AI134" s="35"/>
      <c r="AJ134" s="35"/>
      <c r="AK134" s="1"/>
      <c r="AL134" s="1"/>
      <c r="AM134" s="1"/>
      <c r="AN134" s="1"/>
      <c r="AO134" s="1"/>
      <c r="AP134" s="1"/>
      <c r="AQ134" s="1"/>
      <c r="AR134" s="1"/>
      <c r="AS134" s="1"/>
      <c r="AT134" s="1"/>
      <c r="AU134" s="1"/>
      <c r="AV134" s="1"/>
      <c r="AW134" s="1"/>
      <c r="AX134" s="1"/>
      <c r="AY134" s="1"/>
      <c r="AZ134" s="7"/>
      <c r="BA134" s="7"/>
      <c r="BB134" s="7"/>
      <c r="BC134" s="7"/>
      <c r="BD134" s="1"/>
      <c r="BE134" s="1"/>
      <c r="BF134" s="1"/>
      <c r="BG134" s="1"/>
      <c r="BH134" s="1"/>
    </row>
    <row r="135" spans="1:60" s="77" customForma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35"/>
      <c r="AI135" s="35"/>
      <c r="AJ135" s="35"/>
      <c r="AK135" s="1"/>
      <c r="AL135" s="1"/>
      <c r="AM135" s="1"/>
      <c r="AN135" s="1"/>
      <c r="AO135" s="1"/>
      <c r="AP135" s="1"/>
      <c r="AQ135" s="1"/>
      <c r="AR135" s="1"/>
      <c r="AS135" s="1"/>
      <c r="AT135" s="1"/>
      <c r="AU135" s="1"/>
      <c r="AV135" s="1"/>
      <c r="AW135" s="1"/>
      <c r="AX135" s="1"/>
      <c r="AY135" s="1"/>
      <c r="AZ135" s="7"/>
      <c r="BA135" s="7"/>
      <c r="BB135" s="7"/>
      <c r="BC135" s="7"/>
      <c r="BD135" s="1"/>
      <c r="BE135" s="1"/>
      <c r="BF135" s="1"/>
      <c r="BG135" s="1"/>
      <c r="BH135" s="1"/>
    </row>
    <row r="136" spans="1:60" s="77" customForma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35"/>
      <c r="AI136" s="35"/>
      <c r="AJ136" s="35"/>
      <c r="AK136" s="1"/>
      <c r="AL136" s="1"/>
      <c r="AM136" s="1"/>
      <c r="AN136" s="1"/>
      <c r="AO136" s="1"/>
      <c r="AP136" s="1"/>
      <c r="AQ136" s="1"/>
      <c r="AR136" s="1"/>
      <c r="AS136" s="1"/>
      <c r="AT136" s="1"/>
      <c r="AU136" s="1"/>
      <c r="AV136" s="1"/>
      <c r="AW136" s="1"/>
      <c r="AX136" s="1"/>
      <c r="AY136" s="1"/>
      <c r="AZ136" s="7"/>
      <c r="BA136" s="7"/>
      <c r="BB136" s="7"/>
      <c r="BC136" s="7"/>
      <c r="BD136" s="1"/>
      <c r="BE136" s="1"/>
      <c r="BF136" s="1"/>
      <c r="BG136" s="1"/>
      <c r="BH136" s="1"/>
    </row>
    <row r="137" spans="1:60" s="77" customForma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35"/>
      <c r="AI137" s="35"/>
      <c r="AJ137" s="35"/>
      <c r="AK137" s="1"/>
      <c r="AL137" s="1"/>
      <c r="AM137" s="1"/>
      <c r="AN137" s="1"/>
      <c r="AO137" s="1"/>
      <c r="AP137" s="1"/>
      <c r="AQ137" s="1"/>
      <c r="AR137" s="1"/>
      <c r="AS137" s="1"/>
      <c r="AT137" s="1"/>
      <c r="AU137" s="1"/>
      <c r="AV137" s="1"/>
      <c r="AW137" s="1"/>
      <c r="AX137" s="1"/>
      <c r="AY137" s="1"/>
      <c r="AZ137" s="7"/>
      <c r="BA137" s="7"/>
      <c r="BB137" s="7"/>
      <c r="BC137" s="7"/>
      <c r="BD137" s="1"/>
      <c r="BE137" s="1"/>
      <c r="BF137" s="1"/>
      <c r="BG137" s="1"/>
      <c r="BH137" s="1"/>
    </row>
    <row r="138" spans="1:60" s="77" customForma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35"/>
      <c r="AI138" s="35"/>
      <c r="AJ138" s="35"/>
      <c r="AK138" s="1"/>
      <c r="AL138" s="1"/>
      <c r="AM138" s="1"/>
      <c r="AN138" s="1"/>
      <c r="AO138" s="1"/>
      <c r="AP138" s="1"/>
      <c r="AQ138" s="1"/>
      <c r="AR138" s="1"/>
      <c r="AS138" s="1"/>
      <c r="AT138" s="1"/>
      <c r="AU138" s="1"/>
      <c r="AV138" s="1"/>
      <c r="AW138" s="1"/>
      <c r="AX138" s="1"/>
      <c r="AY138" s="1"/>
      <c r="AZ138" s="7"/>
      <c r="BA138" s="7"/>
      <c r="BB138" s="7"/>
      <c r="BC138" s="7"/>
      <c r="BD138" s="1"/>
      <c r="BE138" s="1"/>
      <c r="BF138" s="1"/>
      <c r="BG138" s="1"/>
      <c r="BH138" s="1"/>
    </row>
    <row r="139" spans="1:60" s="77" customForma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35"/>
      <c r="AI139" s="35"/>
      <c r="AJ139" s="35"/>
      <c r="AK139" s="1"/>
      <c r="AL139" s="1"/>
      <c r="AM139" s="1"/>
      <c r="AN139" s="1"/>
      <c r="AO139" s="1"/>
      <c r="AP139" s="1"/>
      <c r="AQ139" s="1"/>
      <c r="AR139" s="1"/>
      <c r="AS139" s="1"/>
      <c r="AT139" s="1"/>
      <c r="AU139" s="1"/>
      <c r="AV139" s="1"/>
      <c r="AW139" s="1"/>
      <c r="AX139" s="1"/>
      <c r="AY139" s="1"/>
      <c r="AZ139" s="7"/>
      <c r="BA139" s="7"/>
      <c r="BB139" s="7"/>
      <c r="BC139" s="7"/>
      <c r="BD139" s="1"/>
      <c r="BE139" s="1"/>
      <c r="BF139" s="1"/>
      <c r="BG139" s="1"/>
      <c r="BH139" s="1"/>
    </row>
    <row r="140" spans="1:60" s="77" customForma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35"/>
      <c r="AI140" s="35"/>
      <c r="AJ140" s="35"/>
      <c r="AK140" s="1"/>
      <c r="AL140" s="1"/>
      <c r="AM140" s="1"/>
      <c r="AN140" s="1"/>
      <c r="AO140" s="1"/>
      <c r="AP140" s="1"/>
      <c r="AQ140" s="1"/>
      <c r="AR140" s="1"/>
      <c r="AS140" s="1"/>
      <c r="AT140" s="1"/>
      <c r="AU140" s="1"/>
      <c r="AV140" s="1"/>
      <c r="AW140" s="1"/>
      <c r="AX140" s="1"/>
      <c r="AY140" s="1"/>
      <c r="AZ140" s="7"/>
      <c r="BA140" s="7"/>
      <c r="BB140" s="7"/>
      <c r="BC140" s="7"/>
      <c r="BD140" s="1"/>
      <c r="BE140" s="1"/>
      <c r="BF140" s="1"/>
      <c r="BG140" s="1"/>
      <c r="BH140" s="1"/>
    </row>
    <row r="141" spans="1:60" s="77" customForma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35"/>
      <c r="AI141" s="35"/>
      <c r="AJ141" s="35"/>
      <c r="AK141" s="1"/>
      <c r="AL141" s="1"/>
      <c r="AM141" s="1"/>
      <c r="AN141" s="1"/>
      <c r="AO141" s="1"/>
      <c r="AP141" s="1"/>
      <c r="AQ141" s="1"/>
      <c r="AR141" s="1"/>
      <c r="AS141" s="1"/>
      <c r="AT141" s="1"/>
      <c r="AU141" s="1"/>
      <c r="AV141" s="1"/>
      <c r="AW141" s="1"/>
      <c r="AX141" s="1"/>
      <c r="AY141" s="1"/>
      <c r="AZ141" s="7"/>
      <c r="BA141" s="7"/>
      <c r="BB141" s="7"/>
      <c r="BC141" s="7"/>
      <c r="BD141" s="1"/>
      <c r="BE141" s="1"/>
      <c r="BF141" s="1"/>
      <c r="BG141" s="1"/>
      <c r="BH141" s="1"/>
    </row>
    <row r="142" spans="1:60" s="77" customForma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35"/>
      <c r="AI142" s="35"/>
      <c r="AJ142" s="35"/>
      <c r="AK142" s="1"/>
      <c r="AL142" s="1"/>
      <c r="AM142" s="1"/>
      <c r="AN142" s="1"/>
      <c r="AO142" s="1"/>
      <c r="AP142" s="1"/>
      <c r="AQ142" s="1"/>
      <c r="AR142" s="1"/>
      <c r="AS142" s="1"/>
      <c r="AT142" s="1"/>
      <c r="AU142" s="1"/>
      <c r="AV142" s="1"/>
      <c r="AW142" s="1"/>
      <c r="AX142" s="1"/>
      <c r="AY142" s="1"/>
      <c r="AZ142" s="7"/>
      <c r="BA142" s="7"/>
      <c r="BB142" s="7"/>
      <c r="BC142" s="7"/>
      <c r="BD142" s="1"/>
      <c r="BE142" s="1"/>
      <c r="BF142" s="1"/>
      <c r="BG142" s="1"/>
      <c r="BH142" s="1"/>
    </row>
    <row r="143" spans="1:60" s="77" customForma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35"/>
      <c r="AI143" s="35"/>
      <c r="AJ143" s="35"/>
      <c r="AK143" s="1"/>
      <c r="AL143" s="1"/>
      <c r="AM143" s="1"/>
      <c r="AN143" s="1"/>
      <c r="AO143" s="1"/>
      <c r="AP143" s="1"/>
      <c r="AQ143" s="1"/>
      <c r="AR143" s="1"/>
      <c r="AS143" s="1"/>
      <c r="AT143" s="1"/>
      <c r="AU143" s="1"/>
      <c r="AV143" s="1"/>
      <c r="AW143" s="1"/>
      <c r="AX143" s="1"/>
      <c r="AY143" s="1"/>
      <c r="AZ143" s="7"/>
      <c r="BA143" s="7"/>
      <c r="BB143" s="7"/>
      <c r="BC143" s="7"/>
      <c r="BD143" s="1"/>
      <c r="BE143" s="1"/>
      <c r="BF143" s="1"/>
      <c r="BG143" s="1"/>
      <c r="BH143" s="1"/>
    </row>
    <row r="144" spans="1:60" s="77" customForma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35"/>
      <c r="AI144" s="35"/>
      <c r="AJ144" s="35"/>
      <c r="AK144" s="1"/>
      <c r="AL144" s="1"/>
      <c r="AM144" s="1"/>
      <c r="AN144" s="1"/>
      <c r="AO144" s="1"/>
      <c r="AP144" s="1"/>
      <c r="AQ144" s="1"/>
      <c r="AR144" s="1"/>
      <c r="AS144" s="1"/>
      <c r="AT144" s="1"/>
      <c r="AU144" s="1"/>
      <c r="AV144" s="1"/>
      <c r="AW144" s="1"/>
      <c r="AX144" s="1"/>
      <c r="AY144" s="1"/>
      <c r="AZ144" s="7"/>
      <c r="BA144" s="7"/>
      <c r="BB144" s="7"/>
      <c r="BC144" s="7"/>
      <c r="BD144" s="1"/>
      <c r="BE144" s="1"/>
      <c r="BF144" s="1"/>
      <c r="BG144" s="1"/>
      <c r="BH144" s="1"/>
    </row>
    <row r="145" spans="1:60" s="77" customForma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35"/>
      <c r="AI145" s="35"/>
      <c r="AJ145" s="35"/>
      <c r="AK145" s="1"/>
      <c r="AL145" s="1"/>
      <c r="AM145" s="1"/>
      <c r="AN145" s="1"/>
      <c r="AO145" s="1"/>
      <c r="AP145" s="1"/>
      <c r="AQ145" s="1"/>
      <c r="AR145" s="1"/>
      <c r="AS145" s="1"/>
      <c r="AT145" s="1"/>
      <c r="AU145" s="1"/>
      <c r="AV145" s="1"/>
      <c r="AW145" s="1"/>
      <c r="AX145" s="1"/>
      <c r="AY145" s="1"/>
      <c r="AZ145" s="7"/>
      <c r="BA145" s="7"/>
      <c r="BB145" s="7"/>
      <c r="BC145" s="7"/>
      <c r="BD145" s="1"/>
      <c r="BE145" s="1"/>
      <c r="BF145" s="1"/>
      <c r="BG145" s="1"/>
      <c r="BH145" s="1"/>
    </row>
    <row r="146" spans="1:60" s="77" customForma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35"/>
      <c r="AI146" s="35"/>
      <c r="AJ146" s="35"/>
      <c r="AK146" s="1"/>
      <c r="AL146" s="1"/>
      <c r="AM146" s="1"/>
      <c r="AN146" s="1"/>
      <c r="AO146" s="1"/>
      <c r="AP146" s="1"/>
      <c r="AQ146" s="1"/>
      <c r="AR146" s="1"/>
      <c r="AS146" s="1"/>
      <c r="AT146" s="1"/>
      <c r="AU146" s="1"/>
      <c r="AV146" s="1"/>
      <c r="AW146" s="1"/>
      <c r="AX146" s="1"/>
      <c r="AY146" s="1"/>
      <c r="AZ146" s="7"/>
      <c r="BA146" s="7"/>
      <c r="BB146" s="7"/>
      <c r="BC146" s="7"/>
      <c r="BD146" s="1"/>
      <c r="BE146" s="1"/>
      <c r="BF146" s="1"/>
      <c r="BG146" s="1"/>
      <c r="BH146" s="1"/>
    </row>
    <row r="147" spans="1:60" s="77" customForma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35"/>
      <c r="AI147" s="35"/>
      <c r="AJ147" s="35"/>
      <c r="AK147" s="1"/>
      <c r="AL147" s="1"/>
      <c r="AM147" s="1"/>
      <c r="AN147" s="1"/>
      <c r="AO147" s="1"/>
      <c r="AP147" s="1"/>
      <c r="AQ147" s="1"/>
      <c r="AR147" s="1"/>
      <c r="AS147" s="1"/>
      <c r="AT147" s="1"/>
      <c r="AU147" s="1"/>
      <c r="AV147" s="1"/>
      <c r="AW147" s="1"/>
      <c r="AX147" s="1"/>
      <c r="AY147" s="1"/>
      <c r="AZ147" s="7"/>
      <c r="BA147" s="7"/>
      <c r="BB147" s="7"/>
      <c r="BC147" s="7"/>
      <c r="BD147" s="1"/>
      <c r="BE147" s="1"/>
      <c r="BF147" s="1"/>
      <c r="BG147" s="1"/>
      <c r="BH147" s="1"/>
    </row>
    <row r="148" spans="1:60" s="77" customForma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35"/>
      <c r="AI148" s="35"/>
      <c r="AJ148" s="35"/>
      <c r="AK148" s="1"/>
      <c r="AL148" s="1"/>
      <c r="AM148" s="1"/>
      <c r="AN148" s="1"/>
      <c r="AO148" s="1"/>
      <c r="AP148" s="1"/>
      <c r="AQ148" s="1"/>
      <c r="AR148" s="1"/>
      <c r="AS148" s="1"/>
      <c r="AT148" s="1"/>
      <c r="AU148" s="1"/>
      <c r="AV148" s="1"/>
      <c r="AW148" s="1"/>
      <c r="AX148" s="1"/>
      <c r="AY148" s="1"/>
      <c r="AZ148" s="7"/>
      <c r="BA148" s="7"/>
      <c r="BB148" s="7"/>
      <c r="BC148" s="7"/>
      <c r="BD148" s="1"/>
      <c r="BE148" s="1"/>
      <c r="BF148" s="1"/>
      <c r="BG148" s="1"/>
      <c r="BH148" s="1"/>
    </row>
    <row r="149" spans="1:60" s="77" customForma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35"/>
      <c r="AI149" s="35"/>
      <c r="AJ149" s="35"/>
      <c r="AK149" s="1"/>
      <c r="AL149" s="1"/>
      <c r="AM149" s="1"/>
      <c r="AN149" s="1"/>
      <c r="AO149" s="1"/>
      <c r="AP149" s="1"/>
      <c r="AQ149" s="1"/>
      <c r="AR149" s="1"/>
      <c r="AS149" s="1"/>
      <c r="AT149" s="1"/>
      <c r="AU149" s="1"/>
      <c r="AV149" s="1"/>
      <c r="AW149" s="1"/>
      <c r="AX149" s="1"/>
      <c r="AY149" s="1"/>
      <c r="AZ149" s="7"/>
      <c r="BA149" s="7"/>
      <c r="BB149" s="7"/>
      <c r="BC149" s="7"/>
      <c r="BD149" s="1"/>
      <c r="BE149" s="1"/>
      <c r="BF149" s="1"/>
      <c r="BG149" s="1"/>
      <c r="BH149" s="1"/>
    </row>
    <row r="150" spans="1:60" s="77" customForma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35"/>
      <c r="AI150" s="35"/>
      <c r="AJ150" s="35"/>
      <c r="AK150" s="1"/>
      <c r="AL150" s="1"/>
      <c r="AM150" s="1"/>
      <c r="AN150" s="1"/>
      <c r="AO150" s="1"/>
      <c r="AP150" s="1"/>
      <c r="AQ150" s="1"/>
      <c r="AR150" s="1"/>
      <c r="AS150" s="1"/>
      <c r="AT150" s="1"/>
      <c r="AU150" s="1"/>
      <c r="AV150" s="1"/>
      <c r="AW150" s="1"/>
      <c r="AX150" s="1"/>
      <c r="AY150" s="1"/>
      <c r="AZ150" s="7"/>
      <c r="BA150" s="7"/>
      <c r="BB150" s="7"/>
      <c r="BC150" s="7"/>
      <c r="BD150" s="1"/>
      <c r="BE150" s="1"/>
      <c r="BF150" s="1"/>
      <c r="BG150" s="1"/>
      <c r="BH150" s="1"/>
    </row>
    <row r="151" spans="1:60" s="77" customForma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35"/>
      <c r="AI151" s="35"/>
      <c r="AJ151" s="35"/>
      <c r="AK151" s="1"/>
      <c r="AL151" s="1"/>
      <c r="AM151" s="1"/>
      <c r="AN151" s="1"/>
      <c r="AO151" s="1"/>
      <c r="AP151" s="1"/>
      <c r="AQ151" s="1"/>
      <c r="AR151" s="1"/>
      <c r="AS151" s="1"/>
      <c r="AT151" s="1"/>
      <c r="AU151" s="1"/>
      <c r="AV151" s="1"/>
      <c r="AW151" s="1"/>
      <c r="AX151" s="1"/>
      <c r="AY151" s="1"/>
      <c r="AZ151" s="7"/>
      <c r="BA151" s="7"/>
      <c r="BB151" s="7"/>
      <c r="BC151" s="7"/>
      <c r="BD151" s="1"/>
      <c r="BE151" s="1"/>
      <c r="BF151" s="1"/>
      <c r="BG151" s="1"/>
      <c r="BH151" s="1"/>
    </row>
    <row r="152" spans="1:60" s="77" customForma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35"/>
      <c r="AI152" s="35"/>
      <c r="AJ152" s="35"/>
      <c r="AK152" s="1"/>
      <c r="AL152" s="1"/>
      <c r="AM152" s="1"/>
      <c r="AN152" s="1"/>
      <c r="AO152" s="1"/>
      <c r="AP152" s="1"/>
      <c r="AQ152" s="1"/>
      <c r="AR152" s="1"/>
      <c r="AS152" s="1"/>
      <c r="AT152" s="1"/>
      <c r="AU152" s="1"/>
      <c r="AV152" s="1"/>
      <c r="AW152" s="1"/>
      <c r="AX152" s="1"/>
      <c r="AY152" s="1"/>
      <c r="AZ152" s="7"/>
      <c r="BA152" s="7"/>
      <c r="BB152" s="7"/>
      <c r="BC152" s="7"/>
      <c r="BD152" s="1"/>
      <c r="BE152" s="1"/>
      <c r="BF152" s="1"/>
      <c r="BG152" s="1"/>
      <c r="BH152" s="1"/>
    </row>
    <row r="153" spans="1:60" s="77" customForma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35"/>
      <c r="AI153" s="35"/>
      <c r="AJ153" s="35"/>
      <c r="AK153" s="1"/>
      <c r="AL153" s="1"/>
      <c r="AM153" s="1"/>
      <c r="AN153" s="1"/>
      <c r="AO153" s="1"/>
      <c r="AP153" s="1"/>
      <c r="AQ153" s="1"/>
      <c r="AR153" s="1"/>
      <c r="AS153" s="1"/>
      <c r="AT153" s="1"/>
      <c r="AU153" s="1"/>
      <c r="AV153" s="1"/>
      <c r="AW153" s="1"/>
      <c r="AX153" s="1"/>
      <c r="AY153" s="1"/>
      <c r="AZ153" s="7"/>
      <c r="BA153" s="7"/>
      <c r="BB153" s="7"/>
      <c r="BC153" s="7"/>
      <c r="BD153" s="1"/>
      <c r="BE153" s="1"/>
      <c r="BF153" s="1"/>
      <c r="BG153" s="1"/>
      <c r="BH153" s="1"/>
    </row>
    <row r="154" spans="1:60" s="77" customForma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35"/>
      <c r="AI154" s="35"/>
      <c r="AJ154" s="35"/>
      <c r="AK154" s="1"/>
      <c r="AL154" s="1"/>
      <c r="AM154" s="1"/>
      <c r="AN154" s="1"/>
      <c r="AO154" s="1"/>
      <c r="AP154" s="1"/>
      <c r="AQ154" s="1"/>
      <c r="AR154" s="1"/>
      <c r="AS154" s="1"/>
      <c r="AT154" s="1"/>
      <c r="AU154" s="1"/>
      <c r="AV154" s="1"/>
      <c r="AW154" s="1"/>
      <c r="AX154" s="1"/>
      <c r="AY154" s="1"/>
      <c r="AZ154" s="7"/>
      <c r="BA154" s="7"/>
      <c r="BB154" s="7"/>
      <c r="BC154" s="7"/>
      <c r="BD154" s="1"/>
      <c r="BE154" s="1"/>
      <c r="BF154" s="1"/>
      <c r="BG154" s="1"/>
      <c r="BH154" s="1"/>
    </row>
    <row r="155" spans="1:60" s="77" customForma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35"/>
      <c r="AI155" s="35"/>
      <c r="AJ155" s="35"/>
      <c r="AK155" s="1"/>
      <c r="AL155" s="1"/>
      <c r="AM155" s="1"/>
      <c r="AN155" s="1"/>
      <c r="AO155" s="1"/>
      <c r="AP155" s="1"/>
      <c r="AQ155" s="1"/>
      <c r="AR155" s="1"/>
      <c r="AS155" s="1"/>
      <c r="AT155" s="1"/>
      <c r="AU155" s="1"/>
      <c r="AV155" s="1"/>
      <c r="AW155" s="1"/>
      <c r="AX155" s="1"/>
      <c r="AY155" s="1"/>
      <c r="AZ155" s="7"/>
      <c r="BA155" s="7"/>
      <c r="BB155" s="7"/>
      <c r="BC155" s="7"/>
      <c r="BD155" s="1"/>
      <c r="BE155" s="1"/>
      <c r="BF155" s="1"/>
      <c r="BG155" s="1"/>
      <c r="BH155" s="1"/>
    </row>
    <row r="156" spans="1:60" s="77" customForma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35"/>
      <c r="AI156" s="35"/>
      <c r="AJ156" s="35"/>
      <c r="AK156" s="1"/>
      <c r="AL156" s="1"/>
      <c r="AM156" s="1"/>
      <c r="AN156" s="1"/>
      <c r="AO156" s="1"/>
      <c r="AP156" s="1"/>
      <c r="AQ156" s="1"/>
      <c r="AR156" s="1"/>
      <c r="AS156" s="1"/>
      <c r="AT156" s="1"/>
      <c r="AU156" s="1"/>
      <c r="AV156" s="1"/>
      <c r="AW156" s="1"/>
      <c r="AX156" s="1"/>
      <c r="AY156" s="1"/>
      <c r="AZ156" s="7"/>
      <c r="BA156" s="7"/>
      <c r="BB156" s="7"/>
      <c r="BC156" s="7"/>
      <c r="BD156" s="1"/>
      <c r="BE156" s="1"/>
      <c r="BF156" s="1"/>
      <c r="BG156" s="1"/>
      <c r="BH156" s="1"/>
    </row>
    <row r="157" spans="1:60" s="77" customForma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35"/>
      <c r="AI157" s="35"/>
      <c r="AJ157" s="35"/>
      <c r="AK157" s="1"/>
      <c r="AL157" s="1"/>
      <c r="AM157" s="1"/>
      <c r="AN157" s="1"/>
      <c r="AO157" s="1"/>
      <c r="AP157" s="1"/>
      <c r="AQ157" s="1"/>
      <c r="AR157" s="1"/>
      <c r="AS157" s="1"/>
      <c r="AT157" s="1"/>
      <c r="AU157" s="1"/>
      <c r="AV157" s="1"/>
      <c r="AW157" s="1"/>
      <c r="AX157" s="1"/>
      <c r="AY157" s="1"/>
      <c r="AZ157" s="7"/>
      <c r="BA157" s="7"/>
      <c r="BB157" s="7"/>
      <c r="BC157" s="7"/>
      <c r="BD157" s="1"/>
      <c r="BE157" s="1"/>
      <c r="BF157" s="1"/>
      <c r="BG157" s="1"/>
      <c r="BH157" s="1"/>
    </row>
    <row r="158" spans="1:60" s="77" customForma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35"/>
      <c r="AI158" s="35"/>
      <c r="AJ158" s="35"/>
      <c r="AK158" s="1"/>
      <c r="AL158" s="1"/>
      <c r="AM158" s="1"/>
      <c r="AN158" s="1"/>
      <c r="AO158" s="1"/>
      <c r="AP158" s="1"/>
      <c r="AQ158" s="1"/>
      <c r="AR158" s="1"/>
      <c r="AS158" s="1"/>
      <c r="AT158" s="1"/>
      <c r="AU158" s="1"/>
      <c r="AV158" s="1"/>
      <c r="AW158" s="1"/>
      <c r="AX158" s="1"/>
      <c r="AY158" s="1"/>
      <c r="AZ158" s="7"/>
      <c r="BA158" s="7"/>
      <c r="BB158" s="7"/>
      <c r="BC158" s="7"/>
      <c r="BD158" s="1"/>
      <c r="BE158" s="1"/>
      <c r="BF158" s="1"/>
      <c r="BG158" s="1"/>
      <c r="BH158" s="1"/>
    </row>
    <row r="159" spans="1:60" s="77" customForma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35"/>
      <c r="AI159" s="35"/>
      <c r="AJ159" s="35"/>
      <c r="AK159" s="1"/>
      <c r="AL159" s="1"/>
      <c r="AM159" s="1"/>
      <c r="AN159" s="1"/>
      <c r="AO159" s="1"/>
      <c r="AP159" s="1"/>
      <c r="AQ159" s="1"/>
      <c r="AR159" s="1"/>
      <c r="AS159" s="1"/>
      <c r="AT159" s="1"/>
      <c r="AU159" s="1"/>
      <c r="AV159" s="1"/>
      <c r="AW159" s="1"/>
      <c r="AX159" s="1"/>
      <c r="AY159" s="1"/>
      <c r="AZ159" s="7"/>
      <c r="BA159" s="7"/>
      <c r="BB159" s="7"/>
      <c r="BC159" s="7"/>
      <c r="BD159" s="1"/>
      <c r="BE159" s="1"/>
      <c r="BF159" s="1"/>
      <c r="BG159" s="1"/>
      <c r="BH159" s="1"/>
    </row>
    <row r="160" spans="1:60" s="77" customForma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35"/>
      <c r="AI160" s="35"/>
      <c r="AJ160" s="35"/>
      <c r="AK160" s="1"/>
      <c r="AL160" s="1"/>
      <c r="AM160" s="1"/>
      <c r="AN160" s="1"/>
      <c r="AO160" s="1"/>
      <c r="AP160" s="1"/>
      <c r="AQ160" s="1"/>
      <c r="AR160" s="1"/>
      <c r="AS160" s="1"/>
      <c r="AT160" s="1"/>
      <c r="AU160" s="1"/>
      <c r="AV160" s="1"/>
      <c r="AW160" s="1"/>
      <c r="AX160" s="1"/>
      <c r="AY160" s="1"/>
      <c r="AZ160" s="7"/>
      <c r="BA160" s="7"/>
      <c r="BB160" s="7"/>
      <c r="BC160" s="7"/>
      <c r="BD160" s="1"/>
      <c r="BE160" s="1"/>
      <c r="BF160" s="1"/>
      <c r="BG160" s="1"/>
      <c r="BH160" s="1"/>
    </row>
    <row r="161" spans="1:60" s="77" customForma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35"/>
      <c r="AI161" s="35"/>
      <c r="AJ161" s="35"/>
      <c r="AK161" s="1"/>
      <c r="AL161" s="1"/>
      <c r="AM161" s="1"/>
      <c r="AN161" s="1"/>
      <c r="AO161" s="1"/>
      <c r="AP161" s="1"/>
      <c r="AQ161" s="1"/>
      <c r="AR161" s="1"/>
      <c r="AS161" s="1"/>
      <c r="AT161" s="1"/>
      <c r="AU161" s="1"/>
      <c r="AV161" s="1"/>
      <c r="AW161" s="1"/>
      <c r="AX161" s="1"/>
      <c r="AY161" s="1"/>
      <c r="AZ161" s="7"/>
      <c r="BA161" s="7"/>
      <c r="BB161" s="7"/>
      <c r="BC161" s="7"/>
      <c r="BD161" s="1"/>
      <c r="BE161" s="1"/>
      <c r="BF161" s="1"/>
      <c r="BG161" s="1"/>
      <c r="BH161" s="1"/>
    </row>
    <row r="162" spans="1:60" s="77" customForma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35"/>
      <c r="AI162" s="35"/>
      <c r="AJ162" s="35"/>
      <c r="AK162" s="1"/>
      <c r="AL162" s="1"/>
      <c r="AM162" s="1"/>
      <c r="AN162" s="1"/>
      <c r="AO162" s="1"/>
      <c r="AP162" s="1"/>
      <c r="AQ162" s="1"/>
      <c r="AR162" s="1"/>
      <c r="AS162" s="1"/>
      <c r="AT162" s="1"/>
      <c r="AU162" s="1"/>
      <c r="AV162" s="1"/>
      <c r="AW162" s="1"/>
      <c r="AX162" s="1"/>
      <c r="AY162" s="1"/>
      <c r="AZ162" s="7"/>
      <c r="BA162" s="7"/>
      <c r="BB162" s="7"/>
      <c r="BC162" s="7"/>
      <c r="BD162" s="1"/>
      <c r="BE162" s="1"/>
      <c r="BF162" s="1"/>
      <c r="BG162" s="1"/>
      <c r="BH162" s="1"/>
    </row>
    <row r="163" spans="1:60" s="77" customForma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35"/>
      <c r="AI163" s="35"/>
      <c r="AJ163" s="35"/>
      <c r="AK163" s="1"/>
      <c r="AL163" s="1"/>
      <c r="AM163" s="1"/>
      <c r="AN163" s="1"/>
      <c r="AO163" s="1"/>
      <c r="AP163" s="1"/>
      <c r="AQ163" s="1"/>
      <c r="AR163" s="1"/>
      <c r="AS163" s="1"/>
      <c r="AT163" s="1"/>
      <c r="AU163" s="1"/>
      <c r="AV163" s="1"/>
      <c r="AW163" s="1"/>
      <c r="AX163" s="1"/>
      <c r="AY163" s="1"/>
      <c r="AZ163" s="7"/>
      <c r="BA163" s="7"/>
      <c r="BB163" s="7"/>
      <c r="BC163" s="7"/>
      <c r="BD163" s="1"/>
      <c r="BE163" s="1"/>
      <c r="BF163" s="1"/>
      <c r="BG163" s="1"/>
      <c r="BH163" s="1"/>
    </row>
    <row r="164" spans="1:60" s="77" customForma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35"/>
      <c r="AI164" s="35"/>
      <c r="AJ164" s="35"/>
      <c r="AK164" s="1"/>
      <c r="AL164" s="1"/>
      <c r="AM164" s="1"/>
      <c r="AN164" s="1"/>
      <c r="AO164" s="1"/>
      <c r="AP164" s="1"/>
      <c r="AQ164" s="1"/>
      <c r="AR164" s="1"/>
      <c r="AS164" s="1"/>
      <c r="AT164" s="1"/>
      <c r="AU164" s="1"/>
      <c r="AV164" s="1"/>
      <c r="AW164" s="1"/>
      <c r="AX164" s="1"/>
      <c r="AY164" s="1"/>
      <c r="AZ164" s="7"/>
      <c r="BA164" s="7"/>
      <c r="BB164" s="7"/>
      <c r="BC164" s="7"/>
      <c r="BD164" s="1"/>
      <c r="BE164" s="1"/>
      <c r="BF164" s="1"/>
      <c r="BG164" s="1"/>
      <c r="BH164" s="1"/>
    </row>
    <row r="165" spans="1:60" s="77" customForma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35"/>
      <c r="AI165" s="35"/>
      <c r="AJ165" s="35"/>
      <c r="AK165" s="1"/>
      <c r="AL165" s="1"/>
      <c r="AM165" s="1"/>
      <c r="AN165" s="1"/>
      <c r="AO165" s="1"/>
      <c r="AP165" s="1"/>
      <c r="AQ165" s="1"/>
      <c r="AR165" s="1"/>
      <c r="AS165" s="1"/>
      <c r="AT165" s="1"/>
      <c r="AU165" s="1"/>
      <c r="AV165" s="1"/>
      <c r="AW165" s="1"/>
      <c r="AX165" s="1"/>
      <c r="AY165" s="1"/>
      <c r="AZ165" s="7"/>
      <c r="BA165" s="7"/>
      <c r="BB165" s="7"/>
      <c r="BC165" s="7"/>
      <c r="BD165" s="1"/>
      <c r="BE165" s="1"/>
      <c r="BF165" s="1"/>
      <c r="BG165" s="1"/>
      <c r="BH165" s="1"/>
    </row>
    <row r="166" spans="1:60" s="77" customForma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35"/>
      <c r="AI166" s="35"/>
      <c r="AJ166" s="35"/>
      <c r="AK166" s="1"/>
      <c r="AL166" s="1"/>
      <c r="AM166" s="1"/>
      <c r="AN166" s="1"/>
      <c r="AO166" s="1"/>
      <c r="AP166" s="1"/>
      <c r="AQ166" s="1"/>
      <c r="AR166" s="1"/>
      <c r="AS166" s="1"/>
      <c r="AT166" s="1"/>
      <c r="AU166" s="1"/>
      <c r="AV166" s="1"/>
      <c r="AW166" s="1"/>
      <c r="AX166" s="1"/>
      <c r="AY166" s="1"/>
      <c r="AZ166" s="7"/>
      <c r="BA166" s="7"/>
      <c r="BB166" s="7"/>
      <c r="BC166" s="7"/>
      <c r="BD166" s="1"/>
      <c r="BE166" s="1"/>
      <c r="BF166" s="1"/>
      <c r="BG166" s="1"/>
      <c r="BH166" s="1"/>
    </row>
    <row r="167" spans="1:60" s="77" customForma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35"/>
      <c r="AI167" s="35"/>
      <c r="AJ167" s="35"/>
      <c r="AK167" s="1"/>
      <c r="AL167" s="1"/>
      <c r="AM167" s="1"/>
      <c r="AN167" s="1"/>
      <c r="AO167" s="1"/>
      <c r="AP167" s="1"/>
      <c r="AQ167" s="1"/>
      <c r="AR167" s="1"/>
      <c r="AS167" s="1"/>
      <c r="AT167" s="1"/>
      <c r="AU167" s="1"/>
      <c r="AV167" s="1"/>
      <c r="AW167" s="1"/>
      <c r="AX167" s="1"/>
      <c r="AY167" s="1"/>
      <c r="AZ167" s="7"/>
      <c r="BA167" s="7"/>
      <c r="BB167" s="7"/>
      <c r="BC167" s="7"/>
      <c r="BD167" s="1"/>
      <c r="BE167" s="1"/>
      <c r="BF167" s="1"/>
      <c r="BG167" s="1"/>
      <c r="BH167" s="1"/>
    </row>
    <row r="168" spans="1:60" s="77" customForma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35"/>
      <c r="AI168" s="35"/>
      <c r="AJ168" s="35"/>
      <c r="AK168" s="1"/>
      <c r="AL168" s="1"/>
      <c r="AM168" s="1"/>
      <c r="AN168" s="1"/>
      <c r="AO168" s="1"/>
      <c r="AP168" s="1"/>
      <c r="AQ168" s="1"/>
      <c r="AR168" s="1"/>
      <c r="AS168" s="1"/>
      <c r="AT168" s="1"/>
      <c r="AU168" s="1"/>
      <c r="AV168" s="1"/>
      <c r="AW168" s="1"/>
      <c r="AX168" s="1"/>
      <c r="AY168" s="1"/>
      <c r="AZ168" s="7"/>
      <c r="BA168" s="7"/>
      <c r="BB168" s="7"/>
      <c r="BC168" s="7"/>
      <c r="BD168" s="1"/>
      <c r="BE168" s="1"/>
      <c r="BF168" s="1"/>
      <c r="BG168" s="1"/>
      <c r="BH168" s="1"/>
    </row>
    <row r="169" spans="1:60" s="77" customForma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35"/>
      <c r="AI169" s="35"/>
      <c r="AJ169" s="35"/>
      <c r="AK169" s="1"/>
      <c r="AL169" s="1"/>
      <c r="AM169" s="1"/>
      <c r="AN169" s="1"/>
      <c r="AO169" s="1"/>
      <c r="AP169" s="1"/>
      <c r="AQ169" s="1"/>
      <c r="AR169" s="1"/>
      <c r="AS169" s="1"/>
      <c r="AT169" s="1"/>
      <c r="AU169" s="1"/>
      <c r="AV169" s="1"/>
      <c r="AW169" s="1"/>
      <c r="AX169" s="1"/>
      <c r="AY169" s="1"/>
      <c r="AZ169" s="7"/>
      <c r="BA169" s="7"/>
      <c r="BB169" s="7"/>
      <c r="BC169" s="7"/>
      <c r="BD169" s="1"/>
      <c r="BE169" s="1"/>
      <c r="BF169" s="1"/>
      <c r="BG169" s="1"/>
      <c r="BH169" s="1"/>
    </row>
    <row r="170" spans="1:60" s="77" customForma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35"/>
      <c r="AI170" s="35"/>
      <c r="AJ170" s="35"/>
      <c r="AK170" s="1"/>
      <c r="AL170" s="1"/>
      <c r="AM170" s="1"/>
      <c r="AN170" s="1"/>
      <c r="AO170" s="1"/>
      <c r="AP170" s="1"/>
      <c r="AQ170" s="1"/>
      <c r="AR170" s="1"/>
      <c r="AS170" s="1"/>
      <c r="AT170" s="1"/>
      <c r="AU170" s="1"/>
      <c r="AV170" s="1"/>
      <c r="AW170" s="1"/>
      <c r="AX170" s="1"/>
      <c r="AY170" s="1"/>
      <c r="AZ170" s="7"/>
      <c r="BA170" s="7"/>
      <c r="BB170" s="7"/>
      <c r="BC170" s="7"/>
      <c r="BD170" s="1"/>
      <c r="BE170" s="1"/>
      <c r="BF170" s="1"/>
      <c r="BG170" s="1"/>
      <c r="BH170" s="1"/>
    </row>
    <row r="171" spans="1:60" s="77" customForma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35"/>
      <c r="AI171" s="35"/>
      <c r="AJ171" s="35"/>
      <c r="AK171" s="1"/>
      <c r="AL171" s="1"/>
      <c r="AM171" s="1"/>
      <c r="AN171" s="1"/>
      <c r="AO171" s="1"/>
      <c r="AP171" s="1"/>
      <c r="AQ171" s="1"/>
      <c r="AR171" s="1"/>
      <c r="AS171" s="1"/>
      <c r="AT171" s="1"/>
      <c r="AU171" s="1"/>
      <c r="AV171" s="1"/>
      <c r="AW171" s="1"/>
      <c r="AX171" s="1"/>
      <c r="AY171" s="1"/>
      <c r="AZ171" s="7"/>
      <c r="BA171" s="7"/>
      <c r="BB171" s="7"/>
      <c r="BC171" s="7"/>
      <c r="BD171" s="1"/>
      <c r="BE171" s="1"/>
      <c r="BF171" s="1"/>
      <c r="BG171" s="1"/>
      <c r="BH171" s="1"/>
    </row>
    <row r="172" spans="1:60" s="77" customForma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35"/>
      <c r="AI172" s="35"/>
      <c r="AJ172" s="35"/>
      <c r="AK172" s="1"/>
      <c r="AL172" s="1"/>
      <c r="AM172" s="1"/>
      <c r="AN172" s="1"/>
      <c r="AO172" s="1"/>
      <c r="AP172" s="1"/>
      <c r="AQ172" s="1"/>
      <c r="AR172" s="1"/>
      <c r="AS172" s="1"/>
      <c r="AT172" s="1"/>
      <c r="AU172" s="1"/>
      <c r="AV172" s="1"/>
      <c r="AW172" s="1"/>
      <c r="AX172" s="1"/>
      <c r="AY172" s="1"/>
      <c r="AZ172" s="7"/>
      <c r="BA172" s="7"/>
      <c r="BB172" s="7"/>
      <c r="BC172" s="7"/>
      <c r="BD172" s="1"/>
      <c r="BE172" s="1"/>
      <c r="BF172" s="1"/>
      <c r="BG172" s="1"/>
      <c r="BH172" s="1"/>
    </row>
    <row r="173" spans="1:60" s="77" customForma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35"/>
      <c r="AI173" s="35"/>
      <c r="AJ173" s="35"/>
      <c r="AK173" s="1"/>
      <c r="AL173" s="1"/>
      <c r="AM173" s="1"/>
      <c r="AN173" s="1"/>
      <c r="AO173" s="1"/>
      <c r="AP173" s="1"/>
      <c r="AQ173" s="1"/>
      <c r="AR173" s="1"/>
      <c r="AS173" s="1"/>
      <c r="AT173" s="1"/>
      <c r="AU173" s="1"/>
      <c r="AV173" s="1"/>
      <c r="AW173" s="1"/>
      <c r="AX173" s="1"/>
      <c r="AY173" s="1"/>
      <c r="AZ173" s="7"/>
      <c r="BA173" s="7"/>
      <c r="BB173" s="7"/>
      <c r="BC173" s="7"/>
      <c r="BD173" s="1"/>
      <c r="BE173" s="1"/>
      <c r="BF173" s="1"/>
      <c r="BG173" s="1"/>
      <c r="BH173" s="1"/>
    </row>
    <row r="174" spans="1:60" s="77" customForma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35"/>
      <c r="AI174" s="35"/>
      <c r="AJ174" s="35"/>
      <c r="AK174" s="1"/>
      <c r="AL174" s="1"/>
      <c r="AM174" s="1"/>
      <c r="AN174" s="1"/>
      <c r="AO174" s="1"/>
      <c r="AP174" s="1"/>
      <c r="AQ174" s="1"/>
      <c r="AR174" s="1"/>
      <c r="AS174" s="1"/>
      <c r="AT174" s="1"/>
      <c r="AU174" s="1"/>
      <c r="AV174" s="1"/>
      <c r="AW174" s="1"/>
      <c r="AX174" s="1"/>
      <c r="AY174" s="1"/>
      <c r="AZ174" s="7"/>
      <c r="BA174" s="7"/>
      <c r="BB174" s="7"/>
      <c r="BC174" s="7"/>
      <c r="BD174" s="1"/>
      <c r="BE174" s="1"/>
      <c r="BF174" s="1"/>
      <c r="BG174" s="1"/>
      <c r="BH174" s="1"/>
    </row>
    <row r="175" spans="1:60" s="77" customForma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35"/>
      <c r="AI175" s="35"/>
      <c r="AJ175" s="35"/>
      <c r="AK175" s="1"/>
      <c r="AL175" s="1"/>
      <c r="AM175" s="1"/>
      <c r="AN175" s="1"/>
      <c r="AO175" s="1"/>
      <c r="AP175" s="1"/>
      <c r="AQ175" s="1"/>
      <c r="AR175" s="1"/>
      <c r="AS175" s="1"/>
      <c r="AT175" s="1"/>
      <c r="AU175" s="1"/>
      <c r="AV175" s="1"/>
      <c r="AW175" s="1"/>
      <c r="AX175" s="1"/>
      <c r="AY175" s="1"/>
      <c r="AZ175" s="7"/>
      <c r="BA175" s="7"/>
      <c r="BB175" s="7"/>
      <c r="BC175" s="7"/>
      <c r="BD175" s="1"/>
      <c r="BE175" s="1"/>
      <c r="BF175" s="1"/>
      <c r="BG175" s="1"/>
      <c r="BH175" s="1"/>
    </row>
    <row r="176" spans="1:60" s="77" customForma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35"/>
      <c r="AI176" s="35"/>
      <c r="AJ176" s="35"/>
      <c r="AK176" s="1"/>
      <c r="AL176" s="1"/>
      <c r="AM176" s="1"/>
      <c r="AN176" s="1"/>
      <c r="AO176" s="1"/>
      <c r="AP176" s="1"/>
      <c r="AQ176" s="1"/>
      <c r="AR176" s="1"/>
      <c r="AS176" s="1"/>
      <c r="AT176" s="1"/>
      <c r="AU176" s="1"/>
      <c r="AV176" s="1"/>
      <c r="AW176" s="1"/>
      <c r="AX176" s="1"/>
      <c r="AY176" s="1"/>
      <c r="AZ176" s="7"/>
      <c r="BA176" s="7"/>
      <c r="BB176" s="7"/>
      <c r="BC176" s="7"/>
      <c r="BD176" s="1"/>
      <c r="BE176" s="1"/>
      <c r="BF176" s="1"/>
      <c r="BG176" s="1"/>
      <c r="BH176" s="1"/>
    </row>
    <row r="177" spans="1:60" s="77" customForma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35"/>
      <c r="AI177" s="35"/>
      <c r="AJ177" s="35"/>
      <c r="AK177" s="1"/>
      <c r="AL177" s="1"/>
      <c r="AM177" s="1"/>
      <c r="AN177" s="1"/>
      <c r="AO177" s="1"/>
      <c r="AP177" s="1"/>
      <c r="AQ177" s="1"/>
      <c r="AR177" s="1"/>
      <c r="AS177" s="1"/>
      <c r="AT177" s="1"/>
      <c r="AU177" s="1"/>
      <c r="AV177" s="1"/>
      <c r="AW177" s="1"/>
      <c r="AX177" s="1"/>
      <c r="AY177" s="1"/>
      <c r="AZ177" s="7"/>
      <c r="BA177" s="7"/>
      <c r="BB177" s="7"/>
      <c r="BC177" s="7"/>
      <c r="BD177" s="1"/>
      <c r="BE177" s="1"/>
      <c r="BF177" s="1"/>
      <c r="BG177" s="1"/>
      <c r="BH177" s="1"/>
    </row>
    <row r="178" spans="1:60" s="77" customForma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35"/>
      <c r="AI178" s="35"/>
      <c r="AJ178" s="35"/>
      <c r="AK178" s="1"/>
      <c r="AL178" s="1"/>
      <c r="AM178" s="1"/>
      <c r="AN178" s="1"/>
      <c r="AO178" s="1"/>
      <c r="AP178" s="1"/>
      <c r="AQ178" s="1"/>
      <c r="AR178" s="1"/>
      <c r="AS178" s="1"/>
      <c r="AT178" s="1"/>
      <c r="AU178" s="1"/>
      <c r="AV178" s="1"/>
      <c r="AW178" s="1"/>
      <c r="AX178" s="1"/>
      <c r="AY178" s="1"/>
      <c r="AZ178" s="7"/>
      <c r="BA178" s="7"/>
      <c r="BB178" s="7"/>
      <c r="BC178" s="7"/>
      <c r="BD178" s="1"/>
      <c r="BE178" s="1"/>
      <c r="BF178" s="1"/>
      <c r="BG178" s="1"/>
      <c r="BH178" s="1"/>
    </row>
    <row r="179" spans="1:60" s="77" customForma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35"/>
      <c r="AI179" s="35"/>
      <c r="AJ179" s="35"/>
      <c r="AK179" s="1"/>
      <c r="AL179" s="1"/>
      <c r="AM179" s="1"/>
      <c r="AN179" s="1"/>
      <c r="AO179" s="1"/>
      <c r="AP179" s="1"/>
      <c r="AQ179" s="1"/>
      <c r="AR179" s="1"/>
      <c r="AS179" s="1"/>
      <c r="AT179" s="1"/>
      <c r="AU179" s="1"/>
      <c r="AV179" s="1"/>
      <c r="AW179" s="1"/>
      <c r="AX179" s="1"/>
      <c r="AY179" s="1"/>
      <c r="AZ179" s="7"/>
      <c r="BA179" s="7"/>
      <c r="BB179" s="7"/>
      <c r="BC179" s="7"/>
      <c r="BD179" s="1"/>
      <c r="BE179" s="1"/>
      <c r="BF179" s="1"/>
      <c r="BG179" s="1"/>
      <c r="BH179" s="1"/>
    </row>
  </sheetData>
  <mergeCells count="425">
    <mergeCell ref="AZ14:BA14"/>
    <mergeCell ref="BB12:BC13"/>
    <mergeCell ref="BB14:BC14"/>
    <mergeCell ref="BE12:BF13"/>
    <mergeCell ref="BE14:BF14"/>
    <mergeCell ref="BG12:BH13"/>
    <mergeCell ref="BG14:BH14"/>
    <mergeCell ref="AM14:AN14"/>
    <mergeCell ref="AP12:AQ13"/>
    <mergeCell ref="AP14:AQ14"/>
    <mergeCell ref="AR12:AS13"/>
    <mergeCell ref="AR14:AS14"/>
    <mergeCell ref="AU12:AV13"/>
    <mergeCell ref="AU14:AV14"/>
    <mergeCell ref="AW12:AX13"/>
    <mergeCell ref="AW14:AX14"/>
    <mergeCell ref="AA14:AB14"/>
    <mergeCell ref="AC12:AD13"/>
    <mergeCell ref="AC14:AD14"/>
    <mergeCell ref="AF12:AG13"/>
    <mergeCell ref="AF14:AG14"/>
    <mergeCell ref="AH12:AI13"/>
    <mergeCell ref="AH14:AI14"/>
    <mergeCell ref="AK12:AL13"/>
    <mergeCell ref="AK14:AL14"/>
    <mergeCell ref="N14:O14"/>
    <mergeCell ref="Q12:R13"/>
    <mergeCell ref="Q14:R14"/>
    <mergeCell ref="S12:T13"/>
    <mergeCell ref="S14:T14"/>
    <mergeCell ref="V12:W13"/>
    <mergeCell ref="V14:W14"/>
    <mergeCell ref="X12:Y13"/>
    <mergeCell ref="X14:Y14"/>
    <mergeCell ref="B14:C14"/>
    <mergeCell ref="D12:E13"/>
    <mergeCell ref="D14:E14"/>
    <mergeCell ref="G12:H13"/>
    <mergeCell ref="G14:H14"/>
    <mergeCell ref="I12:J13"/>
    <mergeCell ref="I14:J14"/>
    <mergeCell ref="L12:M13"/>
    <mergeCell ref="L14:M14"/>
    <mergeCell ref="AK54:AN54"/>
    <mergeCell ref="AP54:AS54"/>
    <mergeCell ref="AU54:AX54"/>
    <mergeCell ref="AZ54:BC54"/>
    <mergeCell ref="BE54:BH54"/>
    <mergeCell ref="A61:L61"/>
    <mergeCell ref="BE52:BH52"/>
    <mergeCell ref="B53:E53"/>
    <mergeCell ref="G53:J53"/>
    <mergeCell ref="L53:O53"/>
    <mergeCell ref="Q53:T53"/>
    <mergeCell ref="V53:Y53"/>
    <mergeCell ref="AA53:AD53"/>
    <mergeCell ref="AF53:AI53"/>
    <mergeCell ref="AK53:AN53"/>
    <mergeCell ref="AP53:AS53"/>
    <mergeCell ref="AA52:AD52"/>
    <mergeCell ref="AF52:AI52"/>
    <mergeCell ref="AK52:AN52"/>
    <mergeCell ref="AP52:AS52"/>
    <mergeCell ref="AU52:AX52"/>
    <mergeCell ref="AZ52:BC52"/>
    <mergeCell ref="B54:E54"/>
    <mergeCell ref="G54:J54"/>
    <mergeCell ref="L54:O54"/>
    <mergeCell ref="Q54:T54"/>
    <mergeCell ref="V54:Y54"/>
    <mergeCell ref="AA54:AD54"/>
    <mergeCell ref="AF54:AI54"/>
    <mergeCell ref="AU51:AX51"/>
    <mergeCell ref="AZ51:BC51"/>
    <mergeCell ref="BE51:BH51"/>
    <mergeCell ref="B52:E52"/>
    <mergeCell ref="G52:J52"/>
    <mergeCell ref="L52:O52"/>
    <mergeCell ref="Q52:T52"/>
    <mergeCell ref="V52:Y52"/>
    <mergeCell ref="AU53:AX53"/>
    <mergeCell ref="AZ53:BC53"/>
    <mergeCell ref="BE53:BH53"/>
    <mergeCell ref="B51:E51"/>
    <mergeCell ref="G51:J51"/>
    <mergeCell ref="L51:O51"/>
    <mergeCell ref="Q51:T51"/>
    <mergeCell ref="V51:Y51"/>
    <mergeCell ref="AA51:AD51"/>
    <mergeCell ref="AF51:AI51"/>
    <mergeCell ref="AK51:AN51"/>
    <mergeCell ref="AP51:AS51"/>
    <mergeCell ref="B49:E49"/>
    <mergeCell ref="G49:J49"/>
    <mergeCell ref="L49:O49"/>
    <mergeCell ref="Q49:T49"/>
    <mergeCell ref="V49:Y49"/>
    <mergeCell ref="BE49:BH49"/>
    <mergeCell ref="B50:E50"/>
    <mergeCell ref="G50:J50"/>
    <mergeCell ref="L50:O50"/>
    <mergeCell ref="Q50:T50"/>
    <mergeCell ref="V50:Y50"/>
    <mergeCell ref="AA50:AD50"/>
    <mergeCell ref="AF50:AI50"/>
    <mergeCell ref="AK50:AN50"/>
    <mergeCell ref="AP50:AS50"/>
    <mergeCell ref="AA49:AD49"/>
    <mergeCell ref="AF49:AI49"/>
    <mergeCell ref="AK49:AN49"/>
    <mergeCell ref="AP49:AS49"/>
    <mergeCell ref="AU49:AX49"/>
    <mergeCell ref="AZ49:BC49"/>
    <mergeCell ref="AU50:AX50"/>
    <mergeCell ref="AZ50:BC50"/>
    <mergeCell ref="BE50:BH50"/>
    <mergeCell ref="AU47:AX47"/>
    <mergeCell ref="AZ47:BC47"/>
    <mergeCell ref="BE47:BH47"/>
    <mergeCell ref="B48:E48"/>
    <mergeCell ref="G48:J48"/>
    <mergeCell ref="L48:O48"/>
    <mergeCell ref="Q48:T48"/>
    <mergeCell ref="V48:Y48"/>
    <mergeCell ref="AA48:AD48"/>
    <mergeCell ref="AF48:AI48"/>
    <mergeCell ref="AK48:AN48"/>
    <mergeCell ref="AP48:AS48"/>
    <mergeCell ref="AU48:AX48"/>
    <mergeCell ref="AZ48:BC48"/>
    <mergeCell ref="BE48:BH48"/>
    <mergeCell ref="B47:E47"/>
    <mergeCell ref="G47:J47"/>
    <mergeCell ref="L47:O47"/>
    <mergeCell ref="Q47:T47"/>
    <mergeCell ref="V47:Y47"/>
    <mergeCell ref="AA47:AD47"/>
    <mergeCell ref="AF47:AI47"/>
    <mergeCell ref="AK47:AN47"/>
    <mergeCell ref="AP47:AS47"/>
    <mergeCell ref="AA45:AB45"/>
    <mergeCell ref="AF45:AG45"/>
    <mergeCell ref="BE46:BG46"/>
    <mergeCell ref="AA46:AC46"/>
    <mergeCell ref="AF46:AH46"/>
    <mergeCell ref="AK46:AM46"/>
    <mergeCell ref="AP46:AR46"/>
    <mergeCell ref="AU46:AW46"/>
    <mergeCell ref="AZ46:BB46"/>
    <mergeCell ref="B46:D46"/>
    <mergeCell ref="G46:I46"/>
    <mergeCell ref="L46:N46"/>
    <mergeCell ref="Q46:S46"/>
    <mergeCell ref="V46:X46"/>
    <mergeCell ref="B45:C45"/>
    <mergeCell ref="G45:H45"/>
    <mergeCell ref="Q45:R45"/>
    <mergeCell ref="V45:W45"/>
    <mergeCell ref="AK45:AL45"/>
    <mergeCell ref="AP45:AQ45"/>
    <mergeCell ref="AU45:AV45"/>
    <mergeCell ref="AZ45:BA45"/>
    <mergeCell ref="BE45:BF45"/>
    <mergeCell ref="BE42:BF42"/>
    <mergeCell ref="L38:M38"/>
    <mergeCell ref="L39:M39"/>
    <mergeCell ref="L40:M40"/>
    <mergeCell ref="L41:M41"/>
    <mergeCell ref="L42:M42"/>
    <mergeCell ref="L43:M43"/>
    <mergeCell ref="L44:M44"/>
    <mergeCell ref="L45:M45"/>
    <mergeCell ref="AU43:AV43"/>
    <mergeCell ref="AK41:AL41"/>
    <mergeCell ref="AP41:AQ41"/>
    <mergeCell ref="AU41:AV41"/>
    <mergeCell ref="AF44:AG44"/>
    <mergeCell ref="AK44:AL44"/>
    <mergeCell ref="AP44:AQ44"/>
    <mergeCell ref="AU44:AV44"/>
    <mergeCell ref="AZ44:BA44"/>
    <mergeCell ref="BE44:BF44"/>
    <mergeCell ref="AK43:AL43"/>
    <mergeCell ref="AP43:AQ43"/>
    <mergeCell ref="AZ43:BA43"/>
    <mergeCell ref="BE43:BF43"/>
    <mergeCell ref="AF43:AG43"/>
    <mergeCell ref="B44:C44"/>
    <mergeCell ref="G44:H44"/>
    <mergeCell ref="Q44:R44"/>
    <mergeCell ref="V44:W44"/>
    <mergeCell ref="AA44:AB44"/>
    <mergeCell ref="B43:C43"/>
    <mergeCell ref="G43:H43"/>
    <mergeCell ref="Q43:R43"/>
    <mergeCell ref="V43:W43"/>
    <mergeCell ref="AA43:AB43"/>
    <mergeCell ref="BE40:BF40"/>
    <mergeCell ref="B41:C41"/>
    <mergeCell ref="G41:H41"/>
    <mergeCell ref="Q41:R41"/>
    <mergeCell ref="V41:W41"/>
    <mergeCell ref="AA41:AB41"/>
    <mergeCell ref="AF41:AG41"/>
    <mergeCell ref="B40:C40"/>
    <mergeCell ref="G40:H40"/>
    <mergeCell ref="Q40:R40"/>
    <mergeCell ref="V40:W40"/>
    <mergeCell ref="AA40:AB40"/>
    <mergeCell ref="AF40:AG40"/>
    <mergeCell ref="AK40:AL40"/>
    <mergeCell ref="AZ41:BA41"/>
    <mergeCell ref="BE41:BF41"/>
    <mergeCell ref="BE38:BF38"/>
    <mergeCell ref="B39:C39"/>
    <mergeCell ref="G39:H39"/>
    <mergeCell ref="Q39:R39"/>
    <mergeCell ref="V39:W39"/>
    <mergeCell ref="AA39:AB39"/>
    <mergeCell ref="AF39:AG39"/>
    <mergeCell ref="AK39:AL39"/>
    <mergeCell ref="AP39:AQ39"/>
    <mergeCell ref="AU39:AV39"/>
    <mergeCell ref="AZ39:BA39"/>
    <mergeCell ref="BE39:BF39"/>
    <mergeCell ref="AP38:AQ38"/>
    <mergeCell ref="AU38:AV38"/>
    <mergeCell ref="AZ37:BA37"/>
    <mergeCell ref="AZ38:BA38"/>
    <mergeCell ref="AF36:AG36"/>
    <mergeCell ref="AK36:AL36"/>
    <mergeCell ref="AP36:AQ36"/>
    <mergeCell ref="AU36:AV36"/>
    <mergeCell ref="AZ36:BA36"/>
    <mergeCell ref="B42:C42"/>
    <mergeCell ref="G42:H42"/>
    <mergeCell ref="Q42:R42"/>
    <mergeCell ref="V42:W42"/>
    <mergeCell ref="AA42:AB42"/>
    <mergeCell ref="AF42:AG42"/>
    <mergeCell ref="AK42:AL42"/>
    <mergeCell ref="AP40:AQ40"/>
    <mergeCell ref="AU40:AV40"/>
    <mergeCell ref="AZ40:BA40"/>
    <mergeCell ref="AP42:AQ42"/>
    <mergeCell ref="AU42:AV42"/>
    <mergeCell ref="AZ42:BA42"/>
    <mergeCell ref="BE36:BF36"/>
    <mergeCell ref="A36:A45"/>
    <mergeCell ref="B36:C36"/>
    <mergeCell ref="G36:H36"/>
    <mergeCell ref="Q36:R36"/>
    <mergeCell ref="V36:W36"/>
    <mergeCell ref="AA36:AB36"/>
    <mergeCell ref="B37:C37"/>
    <mergeCell ref="G37:H37"/>
    <mergeCell ref="Q37:R37"/>
    <mergeCell ref="V37:W37"/>
    <mergeCell ref="BE37:BF37"/>
    <mergeCell ref="B38:C38"/>
    <mergeCell ref="G38:H38"/>
    <mergeCell ref="Q38:R38"/>
    <mergeCell ref="V38:W38"/>
    <mergeCell ref="AA38:AB38"/>
    <mergeCell ref="AF38:AG38"/>
    <mergeCell ref="AK38:AL38"/>
    <mergeCell ref="AA37:AB37"/>
    <mergeCell ref="AF37:AG37"/>
    <mergeCell ref="AK37:AL37"/>
    <mergeCell ref="AP37:AQ37"/>
    <mergeCell ref="AU37:AV37"/>
    <mergeCell ref="AF35:AG35"/>
    <mergeCell ref="AK35:AL35"/>
    <mergeCell ref="AP35:AQ35"/>
    <mergeCell ref="AU35:AV35"/>
    <mergeCell ref="AZ35:BA35"/>
    <mergeCell ref="BE35:BF35"/>
    <mergeCell ref="B35:C35"/>
    <mergeCell ref="G35:H35"/>
    <mergeCell ref="L35:M35"/>
    <mergeCell ref="Q35:R35"/>
    <mergeCell ref="V35:W35"/>
    <mergeCell ref="AA35:AB35"/>
    <mergeCell ref="AF25:AI25"/>
    <mergeCell ref="AK25:AN25"/>
    <mergeCell ref="AP25:AS25"/>
    <mergeCell ref="AU25:AX25"/>
    <mergeCell ref="AZ25:BC25"/>
    <mergeCell ref="BE25:BH25"/>
    <mergeCell ref="B25:E25"/>
    <mergeCell ref="G25:J25"/>
    <mergeCell ref="L25:O25"/>
    <mergeCell ref="Q25:T25"/>
    <mergeCell ref="V25:Y25"/>
    <mergeCell ref="AA25:AD25"/>
    <mergeCell ref="AU15:AX15"/>
    <mergeCell ref="AZ15:BC15"/>
    <mergeCell ref="BE15:BH15"/>
    <mergeCell ref="A15:A16"/>
    <mergeCell ref="B15:E15"/>
    <mergeCell ref="G15:J15"/>
    <mergeCell ref="L15:O15"/>
    <mergeCell ref="Q15:T15"/>
    <mergeCell ref="V15:Y15"/>
    <mergeCell ref="AA15:AD15"/>
    <mergeCell ref="AF15:AI15"/>
    <mergeCell ref="AK15:AN15"/>
    <mergeCell ref="AP15:AS15"/>
    <mergeCell ref="A12:A13"/>
    <mergeCell ref="AU11:AX11"/>
    <mergeCell ref="AZ11:BC11"/>
    <mergeCell ref="BE11:BH11"/>
    <mergeCell ref="B11:E11"/>
    <mergeCell ref="G11:J11"/>
    <mergeCell ref="L11:O11"/>
    <mergeCell ref="Q11:T11"/>
    <mergeCell ref="V11:Y11"/>
    <mergeCell ref="AA11:AD11"/>
    <mergeCell ref="B12:C13"/>
    <mergeCell ref="N12:O13"/>
    <mergeCell ref="AA12:AB13"/>
    <mergeCell ref="AM12:AN13"/>
    <mergeCell ref="AZ12:BA13"/>
    <mergeCell ref="B10:E10"/>
    <mergeCell ref="G10:J10"/>
    <mergeCell ref="L10:O10"/>
    <mergeCell ref="Q10:T10"/>
    <mergeCell ref="V10:Y10"/>
    <mergeCell ref="AA10:AD10"/>
    <mergeCell ref="AF11:AI11"/>
    <mergeCell ref="AK11:AN11"/>
    <mergeCell ref="AP11:AS11"/>
    <mergeCell ref="AF10:AI10"/>
    <mergeCell ref="AK10:AN10"/>
    <mergeCell ref="AP10:AS10"/>
    <mergeCell ref="AU10:AX10"/>
    <mergeCell ref="AZ10:BC10"/>
    <mergeCell ref="BE10:BH10"/>
    <mergeCell ref="AK7:AN7"/>
    <mergeCell ref="AP7:AS7"/>
    <mergeCell ref="AK9:AN9"/>
    <mergeCell ref="AP9:AS9"/>
    <mergeCell ref="AU9:AX9"/>
    <mergeCell ref="AZ9:BC9"/>
    <mergeCell ref="BE9:BH9"/>
    <mergeCell ref="AU7:AX7"/>
    <mergeCell ref="AU8:AX8"/>
    <mergeCell ref="AZ7:BC7"/>
    <mergeCell ref="AZ8:BC8"/>
    <mergeCell ref="BE7:BH7"/>
    <mergeCell ref="BE8:BH8"/>
    <mergeCell ref="AF8:AI8"/>
    <mergeCell ref="AK8:AN8"/>
    <mergeCell ref="AP8:AS8"/>
    <mergeCell ref="B7:E7"/>
    <mergeCell ref="G7:J7"/>
    <mergeCell ref="L7:O7"/>
    <mergeCell ref="Q7:T7"/>
    <mergeCell ref="V7:Y7"/>
    <mergeCell ref="AA7:AD7"/>
    <mergeCell ref="AF7:AI7"/>
    <mergeCell ref="B9:E9"/>
    <mergeCell ref="G9:J9"/>
    <mergeCell ref="L9:O9"/>
    <mergeCell ref="Q9:T9"/>
    <mergeCell ref="V9:Y9"/>
    <mergeCell ref="AA9:AD9"/>
    <mergeCell ref="B8:E8"/>
    <mergeCell ref="G8:J8"/>
    <mergeCell ref="L8:O8"/>
    <mergeCell ref="Q8:T8"/>
    <mergeCell ref="V8:Y8"/>
    <mergeCell ref="AA8:AD8"/>
    <mergeCell ref="AF9:AI9"/>
    <mergeCell ref="B5:E5"/>
    <mergeCell ref="G5:J5"/>
    <mergeCell ref="L5:O5"/>
    <mergeCell ref="Q5:T5"/>
    <mergeCell ref="V5:Y5"/>
    <mergeCell ref="BE5:BH5"/>
    <mergeCell ref="B6:E6"/>
    <mergeCell ref="G6:J6"/>
    <mergeCell ref="L6:O6"/>
    <mergeCell ref="Q6:T6"/>
    <mergeCell ref="V6:Y6"/>
    <mergeCell ref="AA6:AD6"/>
    <mergeCell ref="AF6:AI6"/>
    <mergeCell ref="AK6:AN6"/>
    <mergeCell ref="AP6:AS6"/>
    <mergeCell ref="AA5:AD5"/>
    <mergeCell ref="AF5:AI5"/>
    <mergeCell ref="AK5:AN5"/>
    <mergeCell ref="AP5:AS5"/>
    <mergeCell ref="AU5:AX5"/>
    <mergeCell ref="AZ5:BC5"/>
    <mergeCell ref="AU6:AX6"/>
    <mergeCell ref="AZ6:BC6"/>
    <mergeCell ref="BE6:BH6"/>
    <mergeCell ref="A1:BH1"/>
    <mergeCell ref="A2:BH2"/>
    <mergeCell ref="A3:A4"/>
    <mergeCell ref="B3:E4"/>
    <mergeCell ref="G3:J4"/>
    <mergeCell ref="L3:O4"/>
    <mergeCell ref="Q3:T4"/>
    <mergeCell ref="V3:Y4"/>
    <mergeCell ref="AA3:AD4"/>
    <mergeCell ref="AF3:AI4"/>
    <mergeCell ref="AK3:AN4"/>
    <mergeCell ref="AP3:AS4"/>
    <mergeCell ref="AU3:AX4"/>
    <mergeCell ref="AZ3:BC4"/>
    <mergeCell ref="BE3:BH4"/>
    <mergeCell ref="AU56:AX56"/>
    <mergeCell ref="AZ56:BC56"/>
    <mergeCell ref="BE56:BH56"/>
    <mergeCell ref="B56:E56"/>
    <mergeCell ref="G56:J56"/>
    <mergeCell ref="L56:O56"/>
    <mergeCell ref="Q56:T56"/>
    <mergeCell ref="V56:Y56"/>
    <mergeCell ref="AA56:AD56"/>
    <mergeCell ref="AF56:AI56"/>
    <mergeCell ref="AK56:AN56"/>
    <mergeCell ref="AP56:AS56"/>
  </mergeCells>
  <hyperlinks>
    <hyperlink ref="A35" r:id="rId1" display="https://www.invescomutualfund.com/literature-and-form?tab=Complete" xr:uid="{00000000-0004-0000-0000-000000000000}"/>
  </hyperlinks>
  <pageMargins left="0.7" right="0.7" top="0.75" bottom="0.75" header="0.3" footer="0.3"/>
  <pageSetup paperSize="8" scale="61" fitToWidth="0" orientation="landscape" r:id="rId2"/>
  <drawing r:id="rId3"/>
  <legacyDrawing r:id="rId4"/>
  <oleObjects>
    <mc:AlternateContent xmlns:mc="http://schemas.openxmlformats.org/markup-compatibility/2006">
      <mc:Choice Requires="x14">
        <oleObject progId="Word.Document.12" shapeId="1037" r:id="rId5">
          <objectPr defaultSize="0" r:id="rId6">
            <anchor moveWithCells="1">
              <from>
                <xdr:col>1</xdr:col>
                <xdr:colOff>60960</xdr:colOff>
                <xdr:row>53</xdr:row>
                <xdr:rowOff>190500</xdr:rowOff>
              </from>
              <to>
                <xdr:col>4</xdr:col>
                <xdr:colOff>1013460</xdr:colOff>
                <xdr:row>53</xdr:row>
                <xdr:rowOff>944880</xdr:rowOff>
              </to>
            </anchor>
          </objectPr>
        </oleObject>
      </mc:Choice>
      <mc:Fallback>
        <oleObject progId="Word.Document.12" shapeId="1037" r:id="rId5"/>
      </mc:Fallback>
    </mc:AlternateContent>
    <mc:AlternateContent xmlns:mc="http://schemas.openxmlformats.org/markup-compatibility/2006">
      <mc:Choice Requires="x14">
        <oleObject progId="Word.Document.12" shapeId="1038" r:id="rId7">
          <objectPr defaultSize="0" r:id="rId8">
            <anchor moveWithCells="1">
              <from>
                <xdr:col>6</xdr:col>
                <xdr:colOff>99060</xdr:colOff>
                <xdr:row>53</xdr:row>
                <xdr:rowOff>175260</xdr:rowOff>
              </from>
              <to>
                <xdr:col>9</xdr:col>
                <xdr:colOff>1036320</xdr:colOff>
                <xdr:row>53</xdr:row>
                <xdr:rowOff>769620</xdr:rowOff>
              </to>
            </anchor>
          </objectPr>
        </oleObject>
      </mc:Choice>
      <mc:Fallback>
        <oleObject progId="Word.Document.12" shapeId="1038" r:id="rId7"/>
      </mc:Fallback>
    </mc:AlternateContent>
    <mc:AlternateContent xmlns:mc="http://schemas.openxmlformats.org/markup-compatibility/2006">
      <mc:Choice Requires="x14">
        <oleObject progId="Word.Document.12" shapeId="1039" r:id="rId9">
          <objectPr defaultSize="0" r:id="rId10">
            <anchor moveWithCells="1">
              <from>
                <xdr:col>11</xdr:col>
                <xdr:colOff>68580</xdr:colOff>
                <xdr:row>53</xdr:row>
                <xdr:rowOff>175260</xdr:rowOff>
              </from>
              <to>
                <xdr:col>14</xdr:col>
                <xdr:colOff>1021080</xdr:colOff>
                <xdr:row>53</xdr:row>
                <xdr:rowOff>883920</xdr:rowOff>
              </to>
            </anchor>
          </objectPr>
        </oleObject>
      </mc:Choice>
      <mc:Fallback>
        <oleObject progId="Word.Document.12" shapeId="1039" r:id="rId9"/>
      </mc:Fallback>
    </mc:AlternateContent>
    <mc:AlternateContent xmlns:mc="http://schemas.openxmlformats.org/markup-compatibility/2006">
      <mc:Choice Requires="x14">
        <oleObject progId="Word.Document.12" shapeId="1040" r:id="rId11">
          <objectPr defaultSize="0" r:id="rId12">
            <anchor moveWithCells="1">
              <from>
                <xdr:col>16</xdr:col>
                <xdr:colOff>76200</xdr:colOff>
                <xdr:row>53</xdr:row>
                <xdr:rowOff>182880</xdr:rowOff>
              </from>
              <to>
                <xdr:col>19</xdr:col>
                <xdr:colOff>1028700</xdr:colOff>
                <xdr:row>53</xdr:row>
                <xdr:rowOff>723900</xdr:rowOff>
              </to>
            </anchor>
          </objectPr>
        </oleObject>
      </mc:Choice>
      <mc:Fallback>
        <oleObject progId="Word.Document.12" shapeId="1040" r:id="rId11"/>
      </mc:Fallback>
    </mc:AlternateContent>
    <mc:AlternateContent xmlns:mc="http://schemas.openxmlformats.org/markup-compatibility/2006">
      <mc:Choice Requires="x14">
        <oleObject progId="Word.Document.12" shapeId="1041" r:id="rId13">
          <objectPr defaultSize="0" r:id="rId14">
            <anchor moveWithCells="1">
              <from>
                <xdr:col>21</xdr:col>
                <xdr:colOff>144780</xdr:colOff>
                <xdr:row>53</xdr:row>
                <xdr:rowOff>213360</xdr:rowOff>
              </from>
              <to>
                <xdr:col>24</xdr:col>
                <xdr:colOff>1097280</xdr:colOff>
                <xdr:row>53</xdr:row>
                <xdr:rowOff>937260</xdr:rowOff>
              </to>
            </anchor>
          </objectPr>
        </oleObject>
      </mc:Choice>
      <mc:Fallback>
        <oleObject progId="Word.Document.12" shapeId="1041" r:id="rId13"/>
      </mc:Fallback>
    </mc:AlternateContent>
    <mc:AlternateContent xmlns:mc="http://schemas.openxmlformats.org/markup-compatibility/2006">
      <mc:Choice Requires="x14">
        <oleObject progId="Word.Document.12" shapeId="1042" r:id="rId15">
          <objectPr defaultSize="0" r:id="rId16">
            <anchor moveWithCells="1">
              <from>
                <xdr:col>26</xdr:col>
                <xdr:colOff>121920</xdr:colOff>
                <xdr:row>53</xdr:row>
                <xdr:rowOff>236220</xdr:rowOff>
              </from>
              <to>
                <xdr:col>29</xdr:col>
                <xdr:colOff>1074420</xdr:colOff>
                <xdr:row>53</xdr:row>
                <xdr:rowOff>822960</xdr:rowOff>
              </to>
            </anchor>
          </objectPr>
        </oleObject>
      </mc:Choice>
      <mc:Fallback>
        <oleObject progId="Word.Document.12" shapeId="1042" r:id="rId15"/>
      </mc:Fallback>
    </mc:AlternateContent>
    <mc:AlternateContent xmlns:mc="http://schemas.openxmlformats.org/markup-compatibility/2006">
      <mc:Choice Requires="x14">
        <oleObject progId="Word.Document.12" shapeId="1043" r:id="rId17">
          <objectPr defaultSize="0" r:id="rId18">
            <anchor moveWithCells="1">
              <from>
                <xdr:col>31</xdr:col>
                <xdr:colOff>106680</xdr:colOff>
                <xdr:row>53</xdr:row>
                <xdr:rowOff>274320</xdr:rowOff>
              </from>
              <to>
                <xdr:col>34</xdr:col>
                <xdr:colOff>1059180</xdr:colOff>
                <xdr:row>53</xdr:row>
                <xdr:rowOff>914400</xdr:rowOff>
              </to>
            </anchor>
          </objectPr>
        </oleObject>
      </mc:Choice>
      <mc:Fallback>
        <oleObject progId="Word.Document.12" shapeId="1043" r:id="rId17"/>
      </mc:Fallback>
    </mc:AlternateContent>
    <mc:AlternateContent xmlns:mc="http://schemas.openxmlformats.org/markup-compatibility/2006">
      <mc:Choice Requires="x14">
        <oleObject progId="Word.Document.12" shapeId="1044" r:id="rId19">
          <objectPr defaultSize="0" r:id="rId20">
            <anchor moveWithCells="1">
              <from>
                <xdr:col>36</xdr:col>
                <xdr:colOff>121920</xdr:colOff>
                <xdr:row>53</xdr:row>
                <xdr:rowOff>289560</xdr:rowOff>
              </from>
              <to>
                <xdr:col>39</xdr:col>
                <xdr:colOff>1074420</xdr:colOff>
                <xdr:row>53</xdr:row>
                <xdr:rowOff>944880</xdr:rowOff>
              </to>
            </anchor>
          </objectPr>
        </oleObject>
      </mc:Choice>
      <mc:Fallback>
        <oleObject progId="Word.Document.12" shapeId="1044" r:id="rId19"/>
      </mc:Fallback>
    </mc:AlternateContent>
    <mc:AlternateContent xmlns:mc="http://schemas.openxmlformats.org/markup-compatibility/2006">
      <mc:Choice Requires="x14">
        <oleObject progId="Word.Document.12" shapeId="1045" r:id="rId21">
          <objectPr defaultSize="0" r:id="rId22">
            <anchor moveWithCells="1">
              <from>
                <xdr:col>41</xdr:col>
                <xdr:colOff>152400</xdr:colOff>
                <xdr:row>53</xdr:row>
                <xdr:rowOff>327660</xdr:rowOff>
              </from>
              <to>
                <xdr:col>44</xdr:col>
                <xdr:colOff>1104900</xdr:colOff>
                <xdr:row>53</xdr:row>
                <xdr:rowOff>944880</xdr:rowOff>
              </to>
            </anchor>
          </objectPr>
        </oleObject>
      </mc:Choice>
      <mc:Fallback>
        <oleObject progId="Word.Document.12" shapeId="1045" r:id="rId21"/>
      </mc:Fallback>
    </mc:AlternateContent>
    <mc:AlternateContent xmlns:mc="http://schemas.openxmlformats.org/markup-compatibility/2006">
      <mc:Choice Requires="x14">
        <oleObject progId="Word.Document.12" shapeId="1046" r:id="rId23">
          <objectPr defaultSize="0" r:id="rId24">
            <anchor moveWithCells="1">
              <from>
                <xdr:col>46</xdr:col>
                <xdr:colOff>175260</xdr:colOff>
                <xdr:row>53</xdr:row>
                <xdr:rowOff>304800</xdr:rowOff>
              </from>
              <to>
                <xdr:col>49</xdr:col>
                <xdr:colOff>1127760</xdr:colOff>
                <xdr:row>53</xdr:row>
                <xdr:rowOff>899160</xdr:rowOff>
              </to>
            </anchor>
          </objectPr>
        </oleObject>
      </mc:Choice>
      <mc:Fallback>
        <oleObject progId="Word.Document.12" shapeId="1046" r:id="rId23"/>
      </mc:Fallback>
    </mc:AlternateContent>
    <mc:AlternateContent xmlns:mc="http://schemas.openxmlformats.org/markup-compatibility/2006">
      <mc:Choice Requires="x14">
        <oleObject progId="Word.Document.12" shapeId="1047" r:id="rId25">
          <objectPr defaultSize="0" r:id="rId26">
            <anchor moveWithCells="1">
              <from>
                <xdr:col>51</xdr:col>
                <xdr:colOff>190500</xdr:colOff>
                <xdr:row>53</xdr:row>
                <xdr:rowOff>297180</xdr:rowOff>
              </from>
              <to>
                <xdr:col>54</xdr:col>
                <xdr:colOff>1143000</xdr:colOff>
                <xdr:row>53</xdr:row>
                <xdr:rowOff>937260</xdr:rowOff>
              </to>
            </anchor>
          </objectPr>
        </oleObject>
      </mc:Choice>
      <mc:Fallback>
        <oleObject progId="Word.Document.12" shapeId="1047" r:id="rId25"/>
      </mc:Fallback>
    </mc:AlternateContent>
    <mc:AlternateContent xmlns:mc="http://schemas.openxmlformats.org/markup-compatibility/2006">
      <mc:Choice Requires="x14">
        <oleObject progId="Word.Document.12" shapeId="1048" r:id="rId27">
          <objectPr defaultSize="0" r:id="rId28">
            <anchor moveWithCells="1">
              <from>
                <xdr:col>56</xdr:col>
                <xdr:colOff>182880</xdr:colOff>
                <xdr:row>53</xdr:row>
                <xdr:rowOff>327660</xdr:rowOff>
              </from>
              <to>
                <xdr:col>59</xdr:col>
                <xdr:colOff>1135380</xdr:colOff>
                <xdr:row>53</xdr:row>
                <xdr:rowOff>982980</xdr:rowOff>
              </to>
            </anchor>
          </objectPr>
        </oleObject>
      </mc:Choice>
      <mc:Fallback>
        <oleObject progId="Word.Document.12" shapeId="1048" r:id="rId27"/>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F01A-5138-4037-BB76-50F9E9BA4648}">
  <dimension ref="A1:EF292"/>
  <sheetViews>
    <sheetView showGridLines="0" zoomScaleNormal="100" workbookViewId="0">
      <selection activeCell="A61" sqref="A61"/>
    </sheetView>
  </sheetViews>
  <sheetFormatPr defaultColWidth="9.109375" defaultRowHeight="14.4" x14ac:dyDescent="0.3"/>
  <cols>
    <col min="1" max="1" width="44" style="145" customWidth="1"/>
    <col min="2" max="4" width="18.5546875" style="145" customWidth="1"/>
    <col min="5" max="5" width="18.5546875" style="256" customWidth="1"/>
    <col min="6" max="6" width="0.5546875" style="289" customWidth="1"/>
    <col min="7" max="10" width="18.5546875" style="184" customWidth="1"/>
    <col min="11" max="11" width="0.5546875" style="289" customWidth="1"/>
    <col min="12" max="13" width="18.6640625" style="145" customWidth="1"/>
    <col min="14" max="15" width="18.6640625" style="256" customWidth="1"/>
    <col min="16" max="16" width="0.44140625" style="289" customWidth="1"/>
    <col min="17" max="20" width="18.6640625" style="145" customWidth="1"/>
    <col min="21" max="21" width="0.44140625" style="289" customWidth="1"/>
    <col min="22" max="24" width="18.6640625" style="145" customWidth="1"/>
    <col min="25" max="25" width="17.33203125" style="145" customWidth="1"/>
    <col min="26" max="26" width="0.44140625" style="289" customWidth="1"/>
    <col min="27" max="30" width="18.6640625" style="145" customWidth="1"/>
    <col min="31" max="31" width="0.44140625" style="289" customWidth="1"/>
    <col min="32" max="35" width="18.6640625" style="145" customWidth="1"/>
    <col min="36" max="36" width="0.44140625" style="289" customWidth="1"/>
    <col min="37" max="40" width="18.6640625" style="145" customWidth="1"/>
    <col min="41" max="41" width="0.44140625" style="289" customWidth="1"/>
    <col min="42" max="45" width="18.6640625" style="145" customWidth="1"/>
    <col min="46" max="46" width="0.5546875" style="289" customWidth="1"/>
    <col min="47" max="50" width="18.6640625" style="145" customWidth="1"/>
    <col min="51" max="51" width="0.5546875" style="289" customWidth="1"/>
    <col min="52" max="55" width="18.6640625" style="290" customWidth="1"/>
    <col min="56" max="56" width="0.5546875" style="289" customWidth="1"/>
    <col min="57" max="82" width="9.109375" style="184"/>
    <col min="83" max="16384" width="9.109375" style="145"/>
  </cols>
  <sheetData>
    <row r="1" spans="1:136" x14ac:dyDescent="0.3">
      <c r="A1" s="245" t="s">
        <v>11</v>
      </c>
      <c r="B1" s="397"/>
      <c r="C1" s="397"/>
      <c r="D1" s="397"/>
      <c r="E1" s="397"/>
      <c r="F1" s="246"/>
      <c r="G1" s="397"/>
      <c r="H1" s="397"/>
      <c r="I1" s="397"/>
      <c r="J1" s="397"/>
      <c r="K1" s="246"/>
      <c r="L1" s="397"/>
      <c r="M1" s="397"/>
      <c r="N1" s="397"/>
      <c r="O1" s="397"/>
      <c r="P1" s="246"/>
      <c r="Q1" s="397"/>
      <c r="R1" s="397"/>
      <c r="S1" s="397"/>
      <c r="T1" s="397"/>
      <c r="U1" s="246"/>
      <c r="V1" s="397"/>
      <c r="W1" s="397"/>
      <c r="X1" s="397"/>
      <c r="Y1" s="397"/>
      <c r="Z1" s="246"/>
      <c r="AA1" s="397"/>
      <c r="AB1" s="397"/>
      <c r="AC1" s="397"/>
      <c r="AD1" s="397"/>
      <c r="AE1" s="246"/>
      <c r="AF1" s="397"/>
      <c r="AG1" s="397"/>
      <c r="AH1" s="397"/>
      <c r="AI1" s="397"/>
      <c r="AJ1" s="246"/>
      <c r="AK1" s="397"/>
      <c r="AL1" s="397"/>
      <c r="AM1" s="397"/>
      <c r="AN1" s="397"/>
      <c r="AO1" s="246"/>
      <c r="AP1" s="397"/>
      <c r="AQ1" s="397"/>
      <c r="AR1" s="397"/>
      <c r="AS1" s="397"/>
      <c r="AT1" s="246"/>
      <c r="AU1" s="397"/>
      <c r="AV1" s="397"/>
      <c r="AW1" s="397"/>
      <c r="AX1" s="397"/>
      <c r="AY1" s="246"/>
      <c r="AZ1" s="397"/>
      <c r="BA1" s="397"/>
      <c r="BB1" s="397"/>
      <c r="BC1" s="398"/>
      <c r="BD1" s="247"/>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50"/>
    </row>
    <row r="2" spans="1:136" s="256" customFormat="1" x14ac:dyDescent="0.3">
      <c r="A2" s="399" t="s">
        <v>44</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1"/>
      <c r="BD2" s="251"/>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4"/>
      <c r="EF2" s="255"/>
    </row>
    <row r="3" spans="1:136" x14ac:dyDescent="0.3">
      <c r="A3" s="403" t="s">
        <v>13</v>
      </c>
      <c r="B3" s="345" t="s">
        <v>302</v>
      </c>
      <c r="C3" s="345"/>
      <c r="D3" s="345"/>
      <c r="E3" s="345"/>
      <c r="F3" s="257"/>
      <c r="G3" s="345" t="s">
        <v>303</v>
      </c>
      <c r="H3" s="345"/>
      <c r="I3" s="345"/>
      <c r="J3" s="345"/>
      <c r="K3" s="257"/>
      <c r="L3" s="345" t="s">
        <v>304</v>
      </c>
      <c r="M3" s="345"/>
      <c r="N3" s="345"/>
      <c r="O3" s="345"/>
      <c r="P3" s="257"/>
      <c r="Q3" s="345" t="s">
        <v>305</v>
      </c>
      <c r="R3" s="345"/>
      <c r="S3" s="345"/>
      <c r="T3" s="345"/>
      <c r="U3" s="257"/>
      <c r="V3" s="345" t="s">
        <v>306</v>
      </c>
      <c r="W3" s="345"/>
      <c r="X3" s="345"/>
      <c r="Y3" s="345"/>
      <c r="Z3" s="257"/>
      <c r="AA3" s="345" t="s">
        <v>307</v>
      </c>
      <c r="AB3" s="345"/>
      <c r="AC3" s="345"/>
      <c r="AD3" s="345"/>
      <c r="AE3" s="257"/>
      <c r="AF3" s="345" t="s">
        <v>308</v>
      </c>
      <c r="AG3" s="345"/>
      <c r="AH3" s="345"/>
      <c r="AI3" s="345"/>
      <c r="AJ3" s="257"/>
      <c r="AK3" s="345" t="s">
        <v>309</v>
      </c>
      <c r="AL3" s="345"/>
      <c r="AM3" s="345"/>
      <c r="AN3" s="345"/>
      <c r="AO3" s="257"/>
      <c r="AP3" s="345" t="s">
        <v>310</v>
      </c>
      <c r="AQ3" s="345"/>
      <c r="AR3" s="345"/>
      <c r="AS3" s="345"/>
      <c r="AT3" s="257"/>
      <c r="AU3" s="345" t="s">
        <v>311</v>
      </c>
      <c r="AV3" s="345"/>
      <c r="AW3" s="345"/>
      <c r="AX3" s="345"/>
      <c r="AY3" s="257"/>
      <c r="AZ3" s="345" t="s">
        <v>312</v>
      </c>
      <c r="BA3" s="345"/>
      <c r="BB3" s="345"/>
      <c r="BC3" s="402"/>
      <c r="BD3" s="257"/>
    </row>
    <row r="4" spans="1:136" x14ac:dyDescent="0.3">
      <c r="A4" s="403"/>
      <c r="B4" s="345"/>
      <c r="C4" s="345"/>
      <c r="D4" s="345"/>
      <c r="E4" s="345"/>
      <c r="F4" s="257"/>
      <c r="G4" s="345"/>
      <c r="H4" s="345"/>
      <c r="I4" s="345"/>
      <c r="J4" s="345"/>
      <c r="K4" s="257"/>
      <c r="L4" s="345"/>
      <c r="M4" s="345"/>
      <c r="N4" s="345"/>
      <c r="O4" s="345"/>
      <c r="P4" s="257"/>
      <c r="Q4" s="345"/>
      <c r="R4" s="345"/>
      <c r="S4" s="345"/>
      <c r="T4" s="345"/>
      <c r="U4" s="257"/>
      <c r="V4" s="345"/>
      <c r="W4" s="345"/>
      <c r="X4" s="345"/>
      <c r="Y4" s="345"/>
      <c r="Z4" s="257"/>
      <c r="AA4" s="345"/>
      <c r="AB4" s="345"/>
      <c r="AC4" s="345"/>
      <c r="AD4" s="345"/>
      <c r="AE4" s="257"/>
      <c r="AF4" s="345"/>
      <c r="AG4" s="345"/>
      <c r="AH4" s="345"/>
      <c r="AI4" s="345"/>
      <c r="AJ4" s="257"/>
      <c r="AK4" s="345"/>
      <c r="AL4" s="345"/>
      <c r="AM4" s="345"/>
      <c r="AN4" s="345"/>
      <c r="AO4" s="257"/>
      <c r="AP4" s="345"/>
      <c r="AQ4" s="345"/>
      <c r="AR4" s="345"/>
      <c r="AS4" s="345"/>
      <c r="AT4" s="257"/>
      <c r="AU4" s="345"/>
      <c r="AV4" s="345"/>
      <c r="AW4" s="345"/>
      <c r="AX4" s="345"/>
      <c r="AY4" s="257"/>
      <c r="AZ4" s="345"/>
      <c r="BA4" s="345"/>
      <c r="BB4" s="345"/>
      <c r="BC4" s="402"/>
      <c r="BD4" s="257"/>
    </row>
    <row r="5" spans="1:136" s="146" customFormat="1" ht="43.5" customHeight="1" x14ac:dyDescent="0.3">
      <c r="A5" s="258" t="s">
        <v>1</v>
      </c>
      <c r="B5" s="339" t="s">
        <v>313</v>
      </c>
      <c r="C5" s="339"/>
      <c r="D5" s="339"/>
      <c r="E5" s="339"/>
      <c r="F5" s="24"/>
      <c r="G5" s="339" t="s">
        <v>314</v>
      </c>
      <c r="H5" s="339"/>
      <c r="I5" s="339"/>
      <c r="J5" s="339"/>
      <c r="K5" s="24"/>
      <c r="L5" s="339" t="s">
        <v>315</v>
      </c>
      <c r="M5" s="339"/>
      <c r="N5" s="339"/>
      <c r="O5" s="339"/>
      <c r="P5" s="24"/>
      <c r="Q5" s="339" t="s">
        <v>316</v>
      </c>
      <c r="R5" s="339"/>
      <c r="S5" s="339"/>
      <c r="T5" s="339"/>
      <c r="U5" s="24"/>
      <c r="V5" s="339" t="s">
        <v>317</v>
      </c>
      <c r="W5" s="339"/>
      <c r="X5" s="339"/>
      <c r="Y5" s="339"/>
      <c r="Z5" s="24"/>
      <c r="AA5" s="339" t="s">
        <v>318</v>
      </c>
      <c r="AB5" s="339"/>
      <c r="AC5" s="339"/>
      <c r="AD5" s="339"/>
      <c r="AE5" s="24"/>
      <c r="AF5" s="339" t="s">
        <v>319</v>
      </c>
      <c r="AG5" s="339"/>
      <c r="AH5" s="339"/>
      <c r="AI5" s="339"/>
      <c r="AJ5" s="24"/>
      <c r="AK5" s="339" t="s">
        <v>320</v>
      </c>
      <c r="AL5" s="339"/>
      <c r="AM5" s="339"/>
      <c r="AN5" s="339"/>
      <c r="AO5" s="24"/>
      <c r="AP5" s="339" t="s">
        <v>321</v>
      </c>
      <c r="AQ5" s="339"/>
      <c r="AR5" s="339"/>
      <c r="AS5" s="339"/>
      <c r="AT5" s="24"/>
      <c r="AU5" s="339" t="s">
        <v>322</v>
      </c>
      <c r="AV5" s="345"/>
      <c r="AW5" s="345"/>
      <c r="AX5" s="402"/>
      <c r="AY5" s="24"/>
      <c r="AZ5" s="339" t="s">
        <v>323</v>
      </c>
      <c r="BA5" s="345"/>
      <c r="BB5" s="345"/>
      <c r="BC5" s="402"/>
      <c r="BD5" s="24"/>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row>
    <row r="6" spans="1:136" s="146" customFormat="1" x14ac:dyDescent="0.3">
      <c r="A6" s="258" t="s">
        <v>15</v>
      </c>
      <c r="B6" s="345"/>
      <c r="C6" s="345"/>
      <c r="D6" s="345"/>
      <c r="E6" s="345"/>
      <c r="F6" s="24"/>
      <c r="G6" s="376"/>
      <c r="H6" s="376"/>
      <c r="I6" s="376"/>
      <c r="J6" s="376"/>
      <c r="K6" s="24"/>
      <c r="L6" s="345"/>
      <c r="M6" s="345"/>
      <c r="N6" s="345"/>
      <c r="O6" s="345"/>
      <c r="P6" s="24"/>
      <c r="Q6" s="368"/>
      <c r="R6" s="368"/>
      <c r="S6" s="368"/>
      <c r="T6" s="368"/>
      <c r="U6" s="24"/>
      <c r="V6" s="368"/>
      <c r="W6" s="368"/>
      <c r="X6" s="368"/>
      <c r="Y6" s="368"/>
      <c r="Z6" s="24"/>
      <c r="AA6" s="368"/>
      <c r="AB6" s="368"/>
      <c r="AC6" s="368"/>
      <c r="AD6" s="368"/>
      <c r="AE6" s="24"/>
      <c r="AF6" s="345"/>
      <c r="AG6" s="345"/>
      <c r="AH6" s="345"/>
      <c r="AI6" s="345"/>
      <c r="AJ6" s="24"/>
      <c r="AK6" s="368"/>
      <c r="AL6" s="368"/>
      <c r="AM6" s="368"/>
      <c r="AN6" s="368"/>
      <c r="AO6" s="24"/>
      <c r="AP6" s="368"/>
      <c r="AQ6" s="368"/>
      <c r="AR6" s="368"/>
      <c r="AS6" s="368"/>
      <c r="AT6" s="24"/>
      <c r="AU6" s="368"/>
      <c r="AV6" s="368"/>
      <c r="AW6" s="368"/>
      <c r="AX6" s="368"/>
      <c r="AY6" s="24"/>
      <c r="AZ6" s="402"/>
      <c r="BA6" s="404"/>
      <c r="BB6" s="404"/>
      <c r="BC6" s="404"/>
      <c r="BD6" s="24"/>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row>
    <row r="7" spans="1:136" s="146" customFormat="1" x14ac:dyDescent="0.3">
      <c r="A7" s="259" t="s">
        <v>9</v>
      </c>
      <c r="B7" s="338">
        <v>39038</v>
      </c>
      <c r="C7" s="338"/>
      <c r="D7" s="338"/>
      <c r="E7" s="338"/>
      <c r="F7" s="24"/>
      <c r="G7" s="338">
        <v>43838</v>
      </c>
      <c r="H7" s="338"/>
      <c r="I7" s="338"/>
      <c r="J7" s="338"/>
      <c r="K7" s="24"/>
      <c r="L7" s="338">
        <v>39100</v>
      </c>
      <c r="M7" s="338"/>
      <c r="N7" s="338"/>
      <c r="O7" s="338"/>
      <c r="P7" s="24"/>
      <c r="Q7" s="338">
        <v>39165</v>
      </c>
      <c r="R7" s="338"/>
      <c r="S7" s="338"/>
      <c r="T7" s="338"/>
      <c r="U7" s="24"/>
      <c r="V7" s="338">
        <v>39487</v>
      </c>
      <c r="W7" s="338"/>
      <c r="X7" s="338"/>
      <c r="Y7" s="338"/>
      <c r="Z7" s="24"/>
      <c r="AA7" s="338">
        <v>40053</v>
      </c>
      <c r="AB7" s="338"/>
      <c r="AC7" s="338"/>
      <c r="AD7" s="338"/>
      <c r="AE7" s="24"/>
      <c r="AF7" s="338">
        <v>39296</v>
      </c>
      <c r="AG7" s="338"/>
      <c r="AH7" s="338"/>
      <c r="AI7" s="338"/>
      <c r="AJ7" s="24"/>
      <c r="AK7" s="338">
        <v>40542</v>
      </c>
      <c r="AL7" s="338"/>
      <c r="AM7" s="338"/>
      <c r="AN7" s="338"/>
      <c r="AO7" s="24"/>
      <c r="AP7" s="338">
        <v>41272</v>
      </c>
      <c r="AQ7" s="338"/>
      <c r="AR7" s="338"/>
      <c r="AS7" s="338"/>
      <c r="AT7" s="24"/>
      <c r="AU7" s="338">
        <v>41886</v>
      </c>
      <c r="AV7" s="338"/>
      <c r="AW7" s="338"/>
      <c r="AX7" s="338"/>
      <c r="AY7" s="24"/>
      <c r="AZ7" s="338">
        <v>44393</v>
      </c>
      <c r="BA7" s="338"/>
      <c r="BB7" s="338"/>
      <c r="BC7" s="342"/>
      <c r="BD7" s="24"/>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row>
    <row r="8" spans="1:136" s="146" customFormat="1" x14ac:dyDescent="0.3">
      <c r="A8" s="259" t="s">
        <v>0</v>
      </c>
      <c r="B8" s="338">
        <v>41275</v>
      </c>
      <c r="C8" s="338"/>
      <c r="D8" s="338"/>
      <c r="E8" s="338"/>
      <c r="F8" s="24"/>
      <c r="G8" s="338">
        <v>43838</v>
      </c>
      <c r="H8" s="338"/>
      <c r="I8" s="338"/>
      <c r="J8" s="338"/>
      <c r="K8" s="24"/>
      <c r="L8" s="338">
        <v>41275</v>
      </c>
      <c r="M8" s="338"/>
      <c r="N8" s="338"/>
      <c r="O8" s="338"/>
      <c r="P8" s="24"/>
      <c r="Q8" s="338">
        <v>41275</v>
      </c>
      <c r="R8" s="338"/>
      <c r="S8" s="338"/>
      <c r="T8" s="338"/>
      <c r="U8" s="24"/>
      <c r="V8" s="338">
        <v>41275</v>
      </c>
      <c r="W8" s="338"/>
      <c r="X8" s="338"/>
      <c r="Y8" s="338"/>
      <c r="Z8" s="24"/>
      <c r="AA8" s="338">
        <v>41275</v>
      </c>
      <c r="AB8" s="338"/>
      <c r="AC8" s="338"/>
      <c r="AD8" s="338"/>
      <c r="AE8" s="24"/>
      <c r="AF8" s="338">
        <v>41275</v>
      </c>
      <c r="AG8" s="338"/>
      <c r="AH8" s="338"/>
      <c r="AI8" s="338"/>
      <c r="AJ8" s="24"/>
      <c r="AK8" s="338">
        <v>41275</v>
      </c>
      <c r="AL8" s="338"/>
      <c r="AM8" s="338"/>
      <c r="AN8" s="338"/>
      <c r="AO8" s="24"/>
      <c r="AP8" s="338">
        <v>41275</v>
      </c>
      <c r="AQ8" s="338"/>
      <c r="AR8" s="338"/>
      <c r="AS8" s="338"/>
      <c r="AT8" s="24"/>
      <c r="AU8" s="338">
        <v>41886</v>
      </c>
      <c r="AV8" s="338"/>
      <c r="AW8" s="338"/>
      <c r="AX8" s="338"/>
      <c r="AY8" s="24"/>
      <c r="AZ8" s="338">
        <v>44393</v>
      </c>
      <c r="BA8" s="338"/>
      <c r="BB8" s="338"/>
      <c r="BC8" s="342"/>
      <c r="BD8" s="24"/>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row>
    <row r="9" spans="1:136" s="146" customFormat="1" x14ac:dyDescent="0.3">
      <c r="A9" s="258" t="s">
        <v>14</v>
      </c>
      <c r="B9" s="338" t="s">
        <v>47</v>
      </c>
      <c r="C9" s="338"/>
      <c r="D9" s="338"/>
      <c r="E9" s="338"/>
      <c r="F9" s="24"/>
      <c r="G9" s="376" t="s">
        <v>47</v>
      </c>
      <c r="H9" s="376"/>
      <c r="I9" s="376"/>
      <c r="J9" s="376"/>
      <c r="K9" s="24"/>
      <c r="L9" s="338" t="s">
        <v>47</v>
      </c>
      <c r="M9" s="338"/>
      <c r="N9" s="338"/>
      <c r="O9" s="338"/>
      <c r="P9" s="24"/>
      <c r="Q9" s="338" t="s">
        <v>47</v>
      </c>
      <c r="R9" s="338"/>
      <c r="S9" s="338"/>
      <c r="T9" s="338"/>
      <c r="U9" s="24"/>
      <c r="V9" s="338" t="s">
        <v>47</v>
      </c>
      <c r="W9" s="338"/>
      <c r="X9" s="338"/>
      <c r="Y9" s="338"/>
      <c r="Z9" s="24"/>
      <c r="AA9" s="338" t="s">
        <v>47</v>
      </c>
      <c r="AB9" s="338"/>
      <c r="AC9" s="338"/>
      <c r="AD9" s="338"/>
      <c r="AE9" s="24"/>
      <c r="AF9" s="338" t="s">
        <v>47</v>
      </c>
      <c r="AG9" s="338"/>
      <c r="AH9" s="338"/>
      <c r="AI9" s="338"/>
      <c r="AJ9" s="24"/>
      <c r="AK9" s="338" t="s">
        <v>47</v>
      </c>
      <c r="AL9" s="338"/>
      <c r="AM9" s="338"/>
      <c r="AN9" s="338"/>
      <c r="AO9" s="24"/>
      <c r="AP9" s="338" t="s">
        <v>47</v>
      </c>
      <c r="AQ9" s="338"/>
      <c r="AR9" s="338"/>
      <c r="AS9" s="338"/>
      <c r="AT9" s="24"/>
      <c r="AU9" s="338" t="s">
        <v>47</v>
      </c>
      <c r="AV9" s="338"/>
      <c r="AW9" s="338"/>
      <c r="AX9" s="338"/>
      <c r="AY9" s="24"/>
      <c r="AZ9" s="345" t="s">
        <v>47</v>
      </c>
      <c r="BA9" s="345"/>
      <c r="BB9" s="345"/>
      <c r="BC9" s="402"/>
      <c r="BD9" s="24"/>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row>
    <row r="10" spans="1:136" s="146" customFormat="1" ht="48.6" customHeight="1" x14ac:dyDescent="0.3">
      <c r="A10" s="260" t="s">
        <v>192</v>
      </c>
      <c r="B10" s="339" t="s">
        <v>324</v>
      </c>
      <c r="C10" s="339"/>
      <c r="D10" s="339"/>
      <c r="E10" s="339"/>
      <c r="F10" s="24"/>
      <c r="G10" s="405" t="s">
        <v>325</v>
      </c>
      <c r="H10" s="405"/>
      <c r="I10" s="405"/>
      <c r="J10" s="405"/>
      <c r="K10" s="24"/>
      <c r="L10" s="339" t="s">
        <v>326</v>
      </c>
      <c r="M10" s="339"/>
      <c r="N10" s="345"/>
      <c r="O10" s="345"/>
      <c r="P10" s="24"/>
      <c r="Q10" s="339" t="s">
        <v>327</v>
      </c>
      <c r="R10" s="339"/>
      <c r="S10" s="339"/>
      <c r="T10" s="339"/>
      <c r="U10" s="24"/>
      <c r="V10" s="339" t="s">
        <v>328</v>
      </c>
      <c r="W10" s="339"/>
      <c r="X10" s="339"/>
      <c r="Y10" s="339"/>
      <c r="Z10" s="24"/>
      <c r="AA10" s="339" t="s">
        <v>329</v>
      </c>
      <c r="AB10" s="339"/>
      <c r="AC10" s="339"/>
      <c r="AD10" s="339"/>
      <c r="AE10" s="24"/>
      <c r="AF10" s="339" t="s">
        <v>330</v>
      </c>
      <c r="AG10" s="339"/>
      <c r="AH10" s="339"/>
      <c r="AI10" s="339"/>
      <c r="AJ10" s="24"/>
      <c r="AK10" s="339" t="s">
        <v>331</v>
      </c>
      <c r="AL10" s="339"/>
      <c r="AM10" s="339"/>
      <c r="AN10" s="339"/>
      <c r="AO10" s="24"/>
      <c r="AP10" s="339" t="s">
        <v>332</v>
      </c>
      <c r="AQ10" s="339"/>
      <c r="AR10" s="339"/>
      <c r="AS10" s="339"/>
      <c r="AT10" s="24"/>
      <c r="AU10" s="339" t="s">
        <v>333</v>
      </c>
      <c r="AV10" s="339"/>
      <c r="AW10" s="339"/>
      <c r="AX10" s="339"/>
      <c r="AY10" s="24"/>
      <c r="AZ10" s="339" t="s">
        <v>334</v>
      </c>
      <c r="BA10" s="345"/>
      <c r="BB10" s="345"/>
      <c r="BC10" s="402"/>
      <c r="BD10" s="24"/>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row>
    <row r="11" spans="1:136" s="146" customFormat="1" ht="24.6" customHeight="1" x14ac:dyDescent="0.3">
      <c r="A11" s="258" t="s">
        <v>2</v>
      </c>
      <c r="B11" s="345" t="s">
        <v>335</v>
      </c>
      <c r="C11" s="345"/>
      <c r="D11" s="345"/>
      <c r="E11" s="345"/>
      <c r="F11" s="24"/>
      <c r="G11" s="376" t="s">
        <v>336</v>
      </c>
      <c r="H11" s="376"/>
      <c r="I11" s="376"/>
      <c r="J11" s="376"/>
      <c r="K11" s="24"/>
      <c r="L11" s="345" t="s">
        <v>337</v>
      </c>
      <c r="M11" s="345"/>
      <c r="N11" s="345"/>
      <c r="O11" s="345"/>
      <c r="P11" s="24"/>
      <c r="Q11" s="345" t="s">
        <v>338</v>
      </c>
      <c r="R11" s="345"/>
      <c r="S11" s="345"/>
      <c r="T11" s="345"/>
      <c r="U11" s="24"/>
      <c r="V11" s="345" t="s">
        <v>354</v>
      </c>
      <c r="W11" s="345"/>
      <c r="X11" s="345"/>
      <c r="Y11" s="345"/>
      <c r="Z11" s="24"/>
      <c r="AA11" s="345" t="s">
        <v>339</v>
      </c>
      <c r="AB11" s="345"/>
      <c r="AC11" s="345"/>
      <c r="AD11" s="345"/>
      <c r="AE11" s="24"/>
      <c r="AF11" s="345" t="s">
        <v>356</v>
      </c>
      <c r="AG11" s="345"/>
      <c r="AH11" s="345"/>
      <c r="AI11" s="345"/>
      <c r="AJ11" s="24"/>
      <c r="AK11" s="345" t="s">
        <v>340</v>
      </c>
      <c r="AL11" s="345"/>
      <c r="AM11" s="345"/>
      <c r="AN11" s="345"/>
      <c r="AO11" s="24"/>
      <c r="AP11" s="345" t="s">
        <v>341</v>
      </c>
      <c r="AQ11" s="345"/>
      <c r="AR11" s="345"/>
      <c r="AS11" s="345"/>
      <c r="AT11" s="24"/>
      <c r="AU11" s="339" t="s">
        <v>358</v>
      </c>
      <c r="AV11" s="339"/>
      <c r="AW11" s="339"/>
      <c r="AX11" s="339"/>
      <c r="AY11" s="24"/>
      <c r="AZ11" s="345" t="s">
        <v>342</v>
      </c>
      <c r="BA11" s="345"/>
      <c r="BB11" s="345"/>
      <c r="BC11" s="402"/>
      <c r="BD11" s="24"/>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row>
    <row r="12" spans="1:136" s="18" customFormat="1" ht="15" customHeight="1" x14ac:dyDescent="0.3">
      <c r="A12" s="406" t="s">
        <v>3</v>
      </c>
      <c r="B12" s="405" t="s">
        <v>251</v>
      </c>
      <c r="C12" s="405"/>
      <c r="D12" s="405" t="s">
        <v>194</v>
      </c>
      <c r="E12" s="405"/>
      <c r="F12" s="24"/>
      <c r="G12" s="376" t="s">
        <v>251</v>
      </c>
      <c r="H12" s="376"/>
      <c r="I12" s="376"/>
      <c r="J12" s="376"/>
      <c r="K12" s="24"/>
      <c r="L12" s="405" t="s">
        <v>251</v>
      </c>
      <c r="M12" s="405"/>
      <c r="N12" s="405" t="s">
        <v>194</v>
      </c>
      <c r="O12" s="405"/>
      <c r="P12" s="24"/>
      <c r="Q12" s="405" t="s">
        <v>194</v>
      </c>
      <c r="R12" s="405"/>
      <c r="S12" s="405" t="s">
        <v>251</v>
      </c>
      <c r="T12" s="405"/>
      <c r="U12" s="24"/>
      <c r="V12" s="405" t="s">
        <v>194</v>
      </c>
      <c r="W12" s="405"/>
      <c r="X12" s="405" t="s">
        <v>251</v>
      </c>
      <c r="Y12" s="405"/>
      <c r="Z12" s="24"/>
      <c r="AA12" s="405" t="s">
        <v>251</v>
      </c>
      <c r="AB12" s="405"/>
      <c r="AC12" s="405" t="s">
        <v>194</v>
      </c>
      <c r="AD12" s="405"/>
      <c r="AE12" s="24"/>
      <c r="AF12" s="376" t="s">
        <v>194</v>
      </c>
      <c r="AG12" s="376"/>
      <c r="AH12" s="376" t="s">
        <v>251</v>
      </c>
      <c r="AI12" s="376"/>
      <c r="AJ12" s="24"/>
      <c r="AK12" s="405" t="s">
        <v>251</v>
      </c>
      <c r="AL12" s="405"/>
      <c r="AM12" s="405" t="s">
        <v>194</v>
      </c>
      <c r="AN12" s="405"/>
      <c r="AO12" s="24"/>
      <c r="AP12" s="405" t="s">
        <v>194</v>
      </c>
      <c r="AQ12" s="405"/>
      <c r="AR12" s="405" t="s">
        <v>251</v>
      </c>
      <c r="AS12" s="405"/>
      <c r="AT12" s="24"/>
      <c r="AU12" s="405" t="s">
        <v>194</v>
      </c>
      <c r="AV12" s="405"/>
      <c r="AW12" s="405" t="s">
        <v>251</v>
      </c>
      <c r="AX12" s="405"/>
      <c r="AY12" s="24"/>
      <c r="AZ12" s="405" t="s">
        <v>194</v>
      </c>
      <c r="BA12" s="405"/>
      <c r="BB12" s="405" t="s">
        <v>251</v>
      </c>
      <c r="BC12" s="407"/>
      <c r="BD12" s="24"/>
    </row>
    <row r="13" spans="1:136" s="18" customFormat="1" ht="15" customHeight="1" x14ac:dyDescent="0.3">
      <c r="A13" s="406"/>
      <c r="B13" s="405"/>
      <c r="C13" s="405"/>
      <c r="D13" s="405"/>
      <c r="E13" s="405"/>
      <c r="F13" s="24"/>
      <c r="G13" s="376"/>
      <c r="H13" s="376"/>
      <c r="I13" s="376"/>
      <c r="J13" s="376"/>
      <c r="K13" s="24"/>
      <c r="L13" s="405"/>
      <c r="M13" s="405"/>
      <c r="N13" s="405"/>
      <c r="O13" s="405"/>
      <c r="P13" s="24"/>
      <c r="Q13" s="405"/>
      <c r="R13" s="405"/>
      <c r="S13" s="405"/>
      <c r="T13" s="405"/>
      <c r="U13" s="24"/>
      <c r="V13" s="405"/>
      <c r="W13" s="405"/>
      <c r="X13" s="405"/>
      <c r="Y13" s="405"/>
      <c r="Z13" s="24"/>
      <c r="AA13" s="405"/>
      <c r="AB13" s="405"/>
      <c r="AC13" s="405"/>
      <c r="AD13" s="405"/>
      <c r="AE13" s="24"/>
      <c r="AF13" s="376"/>
      <c r="AG13" s="376"/>
      <c r="AH13" s="376"/>
      <c r="AI13" s="376"/>
      <c r="AJ13" s="24"/>
      <c r="AK13" s="405"/>
      <c r="AL13" s="405"/>
      <c r="AM13" s="405"/>
      <c r="AN13" s="405"/>
      <c r="AO13" s="24"/>
      <c r="AP13" s="405"/>
      <c r="AQ13" s="405"/>
      <c r="AR13" s="405"/>
      <c r="AS13" s="405"/>
      <c r="AT13" s="24"/>
      <c r="AU13" s="405"/>
      <c r="AV13" s="405"/>
      <c r="AW13" s="405"/>
      <c r="AX13" s="405"/>
      <c r="AY13" s="24"/>
      <c r="AZ13" s="405"/>
      <c r="BA13" s="405"/>
      <c r="BB13" s="405"/>
      <c r="BC13" s="407"/>
      <c r="BD13" s="24"/>
    </row>
    <row r="14" spans="1:136" s="18" customFormat="1" ht="15" customHeight="1" x14ac:dyDescent="0.3">
      <c r="A14" s="163" t="s">
        <v>343</v>
      </c>
      <c r="B14" s="376" t="s">
        <v>344</v>
      </c>
      <c r="C14" s="376"/>
      <c r="D14" s="376" t="s">
        <v>345</v>
      </c>
      <c r="E14" s="376"/>
      <c r="F14" s="24"/>
      <c r="G14" s="376" t="s">
        <v>346</v>
      </c>
      <c r="H14" s="376"/>
      <c r="I14" s="376"/>
      <c r="J14" s="376"/>
      <c r="K14" s="24"/>
      <c r="L14" s="376" t="s">
        <v>347</v>
      </c>
      <c r="M14" s="376"/>
      <c r="N14" s="376" t="s">
        <v>348</v>
      </c>
      <c r="O14" s="376"/>
      <c r="P14" s="24"/>
      <c r="Q14" s="376" t="s">
        <v>349</v>
      </c>
      <c r="R14" s="376"/>
      <c r="S14" s="376" t="s">
        <v>348</v>
      </c>
      <c r="T14" s="376"/>
      <c r="U14" s="24"/>
      <c r="V14" s="376" t="s">
        <v>349</v>
      </c>
      <c r="W14" s="376"/>
      <c r="X14" s="376" t="s">
        <v>345</v>
      </c>
      <c r="Y14" s="376"/>
      <c r="Z14" s="24"/>
      <c r="AA14" s="376" t="s">
        <v>350</v>
      </c>
      <c r="AB14" s="376"/>
      <c r="AC14" s="376" t="s">
        <v>348</v>
      </c>
      <c r="AD14" s="376"/>
      <c r="AE14" s="24"/>
      <c r="AF14" s="376" t="s">
        <v>349</v>
      </c>
      <c r="AG14" s="376"/>
      <c r="AH14" s="376" t="s">
        <v>348</v>
      </c>
      <c r="AI14" s="376"/>
      <c r="AJ14" s="24"/>
      <c r="AK14" s="376" t="s">
        <v>350</v>
      </c>
      <c r="AL14" s="376"/>
      <c r="AM14" s="376" t="s">
        <v>345</v>
      </c>
      <c r="AN14" s="376"/>
      <c r="AO14" s="24"/>
      <c r="AP14" s="376" t="s">
        <v>349</v>
      </c>
      <c r="AQ14" s="376"/>
      <c r="AR14" s="376" t="s">
        <v>348</v>
      </c>
      <c r="AS14" s="376"/>
      <c r="AT14" s="24"/>
      <c r="AU14" s="405" t="s">
        <v>349</v>
      </c>
      <c r="AV14" s="405"/>
      <c r="AW14" s="405" t="s">
        <v>348</v>
      </c>
      <c r="AX14" s="405"/>
      <c r="AY14" s="24"/>
      <c r="AZ14" s="405" t="s">
        <v>351</v>
      </c>
      <c r="BA14" s="405"/>
      <c r="BB14" s="405" t="s">
        <v>351</v>
      </c>
      <c r="BC14" s="407"/>
      <c r="BD14" s="24"/>
    </row>
    <row r="15" spans="1:136" s="18" customFormat="1" ht="17.100000000000001" customHeight="1" x14ac:dyDescent="0.3">
      <c r="A15" s="406" t="s">
        <v>260</v>
      </c>
      <c r="B15" s="408" t="s">
        <v>20</v>
      </c>
      <c r="C15" s="408"/>
      <c r="D15" s="408"/>
      <c r="E15" s="408"/>
      <c r="F15" s="24"/>
      <c r="G15" s="408" t="s">
        <v>20</v>
      </c>
      <c r="H15" s="408"/>
      <c r="I15" s="408"/>
      <c r="J15" s="408"/>
      <c r="K15" s="24"/>
      <c r="L15" s="408" t="s">
        <v>20</v>
      </c>
      <c r="M15" s="408"/>
      <c r="N15" s="408"/>
      <c r="O15" s="408"/>
      <c r="P15" s="24"/>
      <c r="Q15" s="408" t="s">
        <v>20</v>
      </c>
      <c r="R15" s="408"/>
      <c r="S15" s="408"/>
      <c r="T15" s="408"/>
      <c r="U15" s="24"/>
      <c r="V15" s="408" t="s">
        <v>20</v>
      </c>
      <c r="W15" s="408"/>
      <c r="X15" s="408"/>
      <c r="Y15" s="408"/>
      <c r="Z15" s="24"/>
      <c r="AA15" s="408" t="s">
        <v>20</v>
      </c>
      <c r="AB15" s="408"/>
      <c r="AC15" s="408"/>
      <c r="AD15" s="408"/>
      <c r="AE15" s="24"/>
      <c r="AF15" s="408" t="s">
        <v>20</v>
      </c>
      <c r="AG15" s="408"/>
      <c r="AH15" s="408"/>
      <c r="AI15" s="408"/>
      <c r="AJ15" s="24"/>
      <c r="AK15" s="408" t="s">
        <v>20</v>
      </c>
      <c r="AL15" s="408"/>
      <c r="AM15" s="408"/>
      <c r="AN15" s="408"/>
      <c r="AO15" s="24"/>
      <c r="AP15" s="408" t="s">
        <v>20</v>
      </c>
      <c r="AQ15" s="408"/>
      <c r="AR15" s="408"/>
      <c r="AS15" s="408"/>
      <c r="AT15" s="24"/>
      <c r="AU15" s="409" t="s">
        <v>20</v>
      </c>
      <c r="AV15" s="409"/>
      <c r="AW15" s="409"/>
      <c r="AX15" s="409"/>
      <c r="AY15" s="24"/>
      <c r="AZ15" s="408" t="s">
        <v>20</v>
      </c>
      <c r="BA15" s="408"/>
      <c r="BB15" s="408"/>
      <c r="BC15" s="410"/>
      <c r="BD15" s="24"/>
    </row>
    <row r="16" spans="1:136" s="262" customFormat="1" ht="36" customHeight="1" x14ac:dyDescent="0.3">
      <c r="A16" s="406"/>
      <c r="B16" s="32" t="s">
        <v>9</v>
      </c>
      <c r="C16" s="32" t="s">
        <v>0</v>
      </c>
      <c r="D16" s="32" t="s">
        <v>335</v>
      </c>
      <c r="E16" s="32" t="s">
        <v>352</v>
      </c>
      <c r="F16" s="37"/>
      <c r="G16" s="32" t="s">
        <v>9</v>
      </c>
      <c r="H16" s="32" t="s">
        <v>0</v>
      </c>
      <c r="I16" s="32" t="s">
        <v>336</v>
      </c>
      <c r="J16" s="32" t="s">
        <v>352</v>
      </c>
      <c r="K16" s="37"/>
      <c r="L16" s="32" t="s">
        <v>9</v>
      </c>
      <c r="M16" s="32" t="s">
        <v>0</v>
      </c>
      <c r="N16" s="32" t="s">
        <v>337</v>
      </c>
      <c r="O16" s="32" t="s">
        <v>262</v>
      </c>
      <c r="P16" s="37"/>
      <c r="Q16" s="32" t="s">
        <v>9</v>
      </c>
      <c r="R16" s="32" t="s">
        <v>0</v>
      </c>
      <c r="S16" s="32" t="s">
        <v>353</v>
      </c>
      <c r="T16" s="32" t="s">
        <v>261</v>
      </c>
      <c r="U16" s="37"/>
      <c r="V16" s="32" t="s">
        <v>9</v>
      </c>
      <c r="W16" s="32" t="s">
        <v>0</v>
      </c>
      <c r="X16" s="32" t="s">
        <v>354</v>
      </c>
      <c r="Y16" s="32" t="s">
        <v>355</v>
      </c>
      <c r="Z16" s="37"/>
      <c r="AA16" s="32" t="s">
        <v>9</v>
      </c>
      <c r="AB16" s="32" t="s">
        <v>0</v>
      </c>
      <c r="AC16" s="32" t="s">
        <v>339</v>
      </c>
      <c r="AD16" s="32" t="s">
        <v>352</v>
      </c>
      <c r="AE16" s="37"/>
      <c r="AF16" s="32" t="s">
        <v>9</v>
      </c>
      <c r="AG16" s="32" t="s">
        <v>0</v>
      </c>
      <c r="AH16" s="32" t="s">
        <v>356</v>
      </c>
      <c r="AI16" s="261" t="s">
        <v>357</v>
      </c>
      <c r="AJ16" s="37"/>
      <c r="AK16" s="32" t="s">
        <v>9</v>
      </c>
      <c r="AL16" s="32" t="s">
        <v>0</v>
      </c>
      <c r="AM16" s="32" t="s">
        <v>340</v>
      </c>
      <c r="AN16" s="32" t="s">
        <v>352</v>
      </c>
      <c r="AO16" s="37"/>
      <c r="AP16" s="32" t="s">
        <v>9</v>
      </c>
      <c r="AQ16" s="32" t="s">
        <v>0</v>
      </c>
      <c r="AR16" s="32" t="s">
        <v>341</v>
      </c>
      <c r="AS16" s="261" t="s">
        <v>357</v>
      </c>
      <c r="AT16" s="37"/>
      <c r="AU16" s="261" t="s">
        <v>9</v>
      </c>
      <c r="AV16" s="261" t="s">
        <v>0</v>
      </c>
      <c r="AW16" s="261" t="s">
        <v>358</v>
      </c>
      <c r="AX16" s="261" t="s">
        <v>357</v>
      </c>
      <c r="AY16" s="37"/>
      <c r="AZ16" s="32" t="s">
        <v>9</v>
      </c>
      <c r="BA16" s="32" t="s">
        <v>0</v>
      </c>
      <c r="BB16" s="32" t="s">
        <v>342</v>
      </c>
      <c r="BC16" s="169" t="s">
        <v>261</v>
      </c>
      <c r="BD16" s="37"/>
    </row>
    <row r="17" spans="1:56" s="18" customFormat="1" x14ac:dyDescent="0.3">
      <c r="A17" s="163" t="s">
        <v>4</v>
      </c>
      <c r="B17" s="263" t="str">
        <f>TEXT(3.29%, "0.00%")</f>
        <v>3.29%</v>
      </c>
      <c r="C17" s="263" t="str">
        <f>TEXT(3.37%, "0.00%")</f>
        <v>3.37%</v>
      </c>
      <c r="D17" s="263" t="str">
        <f>TEXT(3.64%, "0.00%")</f>
        <v>3.64%</v>
      </c>
      <c r="E17" s="263" t="str">
        <f>TEXT(3.52%, "0.00%")</f>
        <v>3.52%</v>
      </c>
      <c r="F17" s="8"/>
      <c r="G17" s="263" t="str">
        <f>TEXT(3.16%, "0.00%")</f>
        <v>3.16%</v>
      </c>
      <c r="H17" s="263" t="str">
        <f>TEXT(3.22%, "0.00%")</f>
        <v>3.22%</v>
      </c>
      <c r="I17" s="263" t="str">
        <f>TEXT(3.32%, "0.00%")</f>
        <v>3.32%</v>
      </c>
      <c r="J17" s="263" t="str">
        <f>TEXT(3.52%, "0.00%")</f>
        <v>3.52%</v>
      </c>
      <c r="K17" s="8"/>
      <c r="L17" s="263" t="str">
        <f>TEXT(3.68%, "0.00%")</f>
        <v>3.68%</v>
      </c>
      <c r="M17" s="263" t="str">
        <f>TEXT(4.02%, "0.00%")</f>
        <v>4.02%</v>
      </c>
      <c r="N17" s="263" t="str">
        <f>TEXT(4.42%, "0.00%")</f>
        <v>4.42%</v>
      </c>
      <c r="O17" s="263" t="str">
        <f>TEXT(3.52%, "0.00%")</f>
        <v>3.52%</v>
      </c>
      <c r="P17" s="8"/>
      <c r="Q17" s="263" t="str">
        <f>TEXT(3.1%, "0.00%")</f>
        <v>3.10%</v>
      </c>
      <c r="R17" s="263" t="str">
        <f>TEXT(3.98%, "0.00%")</f>
        <v>3.98%</v>
      </c>
      <c r="S17" s="263" t="str">
        <f>TEXT(4.72%, "0.00%")</f>
        <v>4.72%</v>
      </c>
      <c r="T17" s="263" t="str">
        <f>TEXT(0.11%, "0.00%")</f>
        <v>0.11%</v>
      </c>
      <c r="U17" s="8"/>
      <c r="V17" s="263" t="str">
        <f>TEXT(0.28%, "0.00%")</f>
        <v>0.28%</v>
      </c>
      <c r="W17" s="263" t="str">
        <f>TEXT(1.05%, "0.00%")</f>
        <v>1.05%</v>
      </c>
      <c r="X17" s="263" t="str">
        <f>TEXT(2.36%, "0.00%")</f>
        <v>2.36%</v>
      </c>
      <c r="Y17" s="263" t="str">
        <f>TEXT(0.11%, "0.00%")</f>
        <v>0.11%</v>
      </c>
      <c r="Z17" s="8"/>
      <c r="AA17" s="263" t="str">
        <f>TEXT(3.63%, "0.00%")</f>
        <v>3.63%</v>
      </c>
      <c r="AB17" s="263" t="str">
        <f>TEXT(3.99%, "0.00%")</f>
        <v>3.99%</v>
      </c>
      <c r="AC17" s="263" t="str">
        <f>TEXT(4.11%, "0.00%")</f>
        <v>4.11%</v>
      </c>
      <c r="AD17" s="263" t="str">
        <f>TEXT(3.52%, "0.00%")</f>
        <v>3.52%</v>
      </c>
      <c r="AE17" s="8"/>
      <c r="AF17" s="263" t="str">
        <f>TEXT(3.87%, "0.00%")</f>
        <v>3.87%</v>
      </c>
      <c r="AG17" s="263" t="str">
        <f>TEXT(4.29%, "0.00%")</f>
        <v>4.29%</v>
      </c>
      <c r="AH17" s="263" t="str">
        <f>TEXT(4.85%, "0.00%")</f>
        <v>4.85%</v>
      </c>
      <c r="AI17" s="263" t="str">
        <f>TEXT(0.11%, "0.00%")</f>
        <v>0.11%</v>
      </c>
      <c r="AJ17" s="8"/>
      <c r="AK17" s="263" t="str">
        <f>TEXT(3.16%, "0.00%")</f>
        <v>3.16%</v>
      </c>
      <c r="AL17" s="263" t="str">
        <f>TEXT(3.83%, "0.00%")</f>
        <v>3.83%</v>
      </c>
      <c r="AM17" s="263" t="str">
        <f>TEXT(4.26%, "0.00%")</f>
        <v>4.26%</v>
      </c>
      <c r="AN17" s="263" t="str">
        <f>TEXT(3.52%, "0.00%")</f>
        <v>3.52%</v>
      </c>
      <c r="AO17" s="8"/>
      <c r="AP17" s="263" t="str">
        <f>TEXT(2.58%, "0.00%")</f>
        <v>2.58%</v>
      </c>
      <c r="AQ17" s="263" t="str">
        <f>TEXT(3.01%, "0.00%")</f>
        <v>3.01%</v>
      </c>
      <c r="AR17" s="263" t="str">
        <f>TEXT(4.14%, "0.00%")</f>
        <v>4.14%</v>
      </c>
      <c r="AS17" s="263" t="str">
        <f>TEXT(0.11%, "0.00%")</f>
        <v>0.11%</v>
      </c>
      <c r="AT17" s="8"/>
      <c r="AU17" s="263" t="str">
        <f>TEXT(3.14%, "0.00%")</f>
        <v>3.14%</v>
      </c>
      <c r="AV17" s="263" t="str">
        <f>TEXT(4.36%, "0.00%")</f>
        <v>4.36%</v>
      </c>
      <c r="AW17" s="263" t="str">
        <f>TEXT(6.91%, "0.00%")</f>
        <v>6.91%</v>
      </c>
      <c r="AX17" s="263" t="str">
        <f>TEXT(0.11%, "0.00%")</f>
        <v>0.11%</v>
      </c>
      <c r="AY17" s="8"/>
      <c r="AZ17" s="263" t="s">
        <v>188</v>
      </c>
      <c r="BA17" s="263" t="s">
        <v>188</v>
      </c>
      <c r="BB17" s="263" t="s">
        <v>188</v>
      </c>
      <c r="BC17" s="263" t="s">
        <v>188</v>
      </c>
      <c r="BD17" s="8"/>
    </row>
    <row r="18" spans="1:56" s="18" customFormat="1" x14ac:dyDescent="0.3">
      <c r="A18" s="163" t="s">
        <v>16</v>
      </c>
      <c r="B18" s="263" t="str">
        <f>TEXT(4.47%, "0.00%")</f>
        <v>4.47%</v>
      </c>
      <c r="C18" s="263" t="str">
        <f>TEXT(4.54%, "0.00%")</f>
        <v>4.54%</v>
      </c>
      <c r="D18" s="263" t="str">
        <f>TEXT(4.9%, "0.00%")</f>
        <v>4.90%</v>
      </c>
      <c r="E18" s="263" t="str">
        <f>TEXT(5.42%, "0.00%")</f>
        <v>5.42%</v>
      </c>
      <c r="F18" s="8"/>
      <c r="G18" s="263" t="s">
        <v>188</v>
      </c>
      <c r="H18" s="263" t="s">
        <v>188</v>
      </c>
      <c r="I18" s="263" t="s">
        <v>188</v>
      </c>
      <c r="J18" s="263" t="s">
        <v>188</v>
      </c>
      <c r="K18" s="8"/>
      <c r="L18" s="263" t="str">
        <f>TEXT(6.3%, "0.00%")</f>
        <v>6.30%</v>
      </c>
      <c r="M18" s="263" t="str">
        <f>TEXT(6.64%, "0.00%")</f>
        <v>6.64%</v>
      </c>
      <c r="N18" s="263" t="str">
        <f>TEXT(6.6%, "0.00%")</f>
        <v>6.60%</v>
      </c>
      <c r="O18" s="263" t="str">
        <f>TEXT(5.42%, "0.00%")</f>
        <v>5.42%</v>
      </c>
      <c r="P18" s="8"/>
      <c r="Q18" s="263" t="str">
        <f>TEXT(6.9%, "0.00%")</f>
        <v>6.90%</v>
      </c>
      <c r="R18" s="263" t="str">
        <f>TEXT(7.81%, "0.00%")</f>
        <v>7.81%</v>
      </c>
      <c r="S18" s="263" t="str">
        <f>TEXT(7.92%, "0.00%")</f>
        <v>7.92%</v>
      </c>
      <c r="T18" s="263" t="str">
        <f>TEXT(6.59%, "0.00%")</f>
        <v>6.59%</v>
      </c>
      <c r="U18" s="8"/>
      <c r="V18" s="263" t="str">
        <f>TEXT(5.85%, "0.00%")</f>
        <v>5.85%</v>
      </c>
      <c r="W18" s="263" t="str">
        <f>TEXT(6.68%, "0.00%")</f>
        <v>6.68%</v>
      </c>
      <c r="X18" s="263" t="str">
        <f>TEXT(8.04%, "0.00%")</f>
        <v>8.04%</v>
      </c>
      <c r="Y18" s="263" t="str">
        <f>TEXT(6.59%, "0.00%")</f>
        <v>6.59%</v>
      </c>
      <c r="Z18" s="8"/>
      <c r="AA18" s="263" t="str">
        <f>TEXT(5.26%, "0.00%")</f>
        <v>5.26%</v>
      </c>
      <c r="AB18" s="263" t="str">
        <f>TEXT(5.59%, "0.00%")</f>
        <v>5.59%</v>
      </c>
      <c r="AC18" s="263" t="str">
        <f>TEXT(5.57%, "0.00%")</f>
        <v>5.57%</v>
      </c>
      <c r="AD18" s="263" t="str">
        <f>TEXT(5.42%, "0.00%")</f>
        <v>5.42%</v>
      </c>
      <c r="AE18" s="8"/>
      <c r="AF18" s="263" t="str">
        <f>TEXT(7.86%, "0.00%")</f>
        <v>7.86%</v>
      </c>
      <c r="AG18" s="263" t="str">
        <f>TEXT(8.29%, "0.00%")</f>
        <v>8.29%</v>
      </c>
      <c r="AH18" s="263" t="str">
        <f>TEXT(9.02%, "0.00%")</f>
        <v>9.02%</v>
      </c>
      <c r="AI18" s="263" t="str">
        <f>TEXT(6.59%, "0.00%")</f>
        <v>6.59%</v>
      </c>
      <c r="AJ18" s="8"/>
      <c r="AK18" s="263" t="str">
        <f>TEXT(5.08%, "0.00%")</f>
        <v>5.08%</v>
      </c>
      <c r="AL18" s="263" t="str">
        <f>TEXT(5.71%, "0.00%")</f>
        <v>5.71%</v>
      </c>
      <c r="AM18" s="263" t="str">
        <f>TEXT(5.92%, "0.00%")</f>
        <v>5.92%</v>
      </c>
      <c r="AN18" s="263" t="str">
        <f>TEXT(5.42%, "0.00%")</f>
        <v>5.42%</v>
      </c>
      <c r="AO18" s="8"/>
      <c r="AP18" s="263" t="str">
        <f>TEXT(7.03%, "0.00%")</f>
        <v>7.03%</v>
      </c>
      <c r="AQ18" s="263" t="str">
        <f>TEXT(7.49%, "0.00%")</f>
        <v>7.49%</v>
      </c>
      <c r="AR18" s="263" t="str">
        <f>TEXT(8.07%, "0.00%")</f>
        <v>8.07%</v>
      </c>
      <c r="AS18" s="263" t="str">
        <f>TEXT(6.59%, "0.00%")</f>
        <v>6.59%</v>
      </c>
      <c r="AT18" s="8"/>
      <c r="AU18" s="263" t="str">
        <f>TEXT(4.31%, "0.00%")</f>
        <v>4.31%</v>
      </c>
      <c r="AV18" s="263" t="str">
        <f>TEXT(5.5%, "0.00%")</f>
        <v>5.50%</v>
      </c>
      <c r="AW18" s="263" t="str">
        <f>TEXT(9.1%, "0.00%")</f>
        <v>9.10%</v>
      </c>
      <c r="AX18" s="263" t="str">
        <f>TEXT(6.59%, "0.00%")</f>
        <v>6.59%</v>
      </c>
      <c r="AY18" s="8"/>
      <c r="AZ18" s="263" t="s">
        <v>188</v>
      </c>
      <c r="BA18" s="263" t="s">
        <v>188</v>
      </c>
      <c r="BB18" s="263" t="s">
        <v>188</v>
      </c>
      <c r="BC18" s="263" t="s">
        <v>188</v>
      </c>
      <c r="BD18" s="8"/>
    </row>
    <row r="19" spans="1:56" s="18" customFormat="1" x14ac:dyDescent="0.3">
      <c r="A19" s="163" t="s">
        <v>17</v>
      </c>
      <c r="B19" s="263" t="str">
        <f>TEXT(5.51%, "0.00%")</f>
        <v>5.51%</v>
      </c>
      <c r="C19" s="263" t="str">
        <f>TEXT(5.58%, "0.00%")</f>
        <v>5.58%</v>
      </c>
      <c r="D19" s="263" t="str">
        <f>TEXT(5.8%, "0.00%")</f>
        <v>5.80%</v>
      </c>
      <c r="E19" s="263" t="str">
        <f>TEXT(5.83%, "0.00%")</f>
        <v>5.83%</v>
      </c>
      <c r="F19" s="8"/>
      <c r="G19" s="263" t="s">
        <v>188</v>
      </c>
      <c r="H19" s="263" t="s">
        <v>188</v>
      </c>
      <c r="I19" s="263" t="s">
        <v>188</v>
      </c>
      <c r="J19" s="263" t="s">
        <v>188</v>
      </c>
      <c r="K19" s="8"/>
      <c r="L19" s="263" t="str">
        <f>TEXT(6.47%, "0.00%")</f>
        <v>6.47%</v>
      </c>
      <c r="M19" s="263" t="str">
        <f>TEXT(6.84%, "0.00%")</f>
        <v>6.84%</v>
      </c>
      <c r="N19" s="263" t="str">
        <f>TEXT(6.85%, "0.00%")</f>
        <v>6.85%</v>
      </c>
      <c r="O19" s="263" t="str">
        <f>TEXT(5.83%, "0.00%")</f>
        <v>5.83%</v>
      </c>
      <c r="P19" s="8"/>
      <c r="Q19" s="263" t="str">
        <f>TEXT(6.19%, "0.00%")</f>
        <v>6.19%</v>
      </c>
      <c r="R19" s="263" t="str">
        <f>TEXT(7.07%, "0.00%")</f>
        <v>7.07%</v>
      </c>
      <c r="S19" s="263" t="str">
        <f>TEXT(7.25%, "0.00%")</f>
        <v>7.25%</v>
      </c>
      <c r="T19" s="263" t="str">
        <f>TEXT(4.83%, "0.00%")</f>
        <v>4.83%</v>
      </c>
      <c r="U19" s="8"/>
      <c r="V19" s="263" t="str">
        <f>TEXT(4.7%, "0.00%")</f>
        <v>4.70%</v>
      </c>
      <c r="W19" s="263" t="str">
        <f>TEXT(5.51%, "0.00%")</f>
        <v>5.51%</v>
      </c>
      <c r="X19" s="263" t="str">
        <f>TEXT(6.41%, "0.00%")</f>
        <v>6.41%</v>
      </c>
      <c r="Y19" s="263" t="str">
        <f>TEXT(4.83%, "0.00%")</f>
        <v>4.83%</v>
      </c>
      <c r="Z19" s="8"/>
      <c r="AA19" s="263" t="str">
        <f>TEXT(6.02%, "0.00%")</f>
        <v>6.02%</v>
      </c>
      <c r="AB19" s="263" t="str">
        <f>TEXT(6.32%, "0.00%")</f>
        <v>6.32%</v>
      </c>
      <c r="AC19" s="263" t="str">
        <f>TEXT(6.3%, "0.00%")</f>
        <v>6.30%</v>
      </c>
      <c r="AD19" s="263" t="str">
        <f>TEXT(5.83%, "0.00%")</f>
        <v>5.83%</v>
      </c>
      <c r="AE19" s="8"/>
      <c r="AF19" s="263" t="str">
        <f>TEXT(5.78%, "0.00%")</f>
        <v>5.78%</v>
      </c>
      <c r="AG19" s="263" t="str">
        <f>TEXT(6.33%, "0.00%")</f>
        <v>6.33%</v>
      </c>
      <c r="AH19" s="263" t="str">
        <f>TEXT(7.55%, "0.00%")</f>
        <v>7.55%</v>
      </c>
      <c r="AI19" s="263" t="str">
        <f>TEXT(4.83%, "0.00%")</f>
        <v>4.83%</v>
      </c>
      <c r="AJ19" s="8"/>
      <c r="AK19" s="263" t="str">
        <f>TEXT(5.91%, "0.00%")</f>
        <v>5.91%</v>
      </c>
      <c r="AL19" s="263" t="str">
        <f>TEXT(6.49%, "0.00%")</f>
        <v>6.49%</v>
      </c>
      <c r="AM19" s="263" t="str">
        <f>TEXT(6.54%, "0.00%")</f>
        <v>6.54%</v>
      </c>
      <c r="AN19" s="263" t="str">
        <f>TEXT(5.83%, "0.00%")</f>
        <v>5.83%</v>
      </c>
      <c r="AO19" s="8"/>
      <c r="AP19" s="263" t="str">
        <f>TEXT(6.64%, "0.00%")</f>
        <v>6.64%</v>
      </c>
      <c r="AQ19" s="263" t="str">
        <f>TEXT(7.08%, "0.00%")</f>
        <v>7.08%</v>
      </c>
      <c r="AR19" s="263" t="str">
        <f>TEXT(7.38%, "0.00%")</f>
        <v>7.38%</v>
      </c>
      <c r="AS19" s="263" t="str">
        <f>TEXT(4.83%, "0.00%")</f>
        <v>4.83%</v>
      </c>
      <c r="AT19" s="8"/>
      <c r="AU19" s="263" t="str">
        <f>TEXT(3.16%, "0.00%")</f>
        <v>3.16%</v>
      </c>
      <c r="AV19" s="263" t="str">
        <f>TEXT(4.18%, "0.00%")</f>
        <v>4.18%</v>
      </c>
      <c r="AW19" s="263" t="str">
        <f>TEXT(8.25%, "0.00%")</f>
        <v>8.25%</v>
      </c>
      <c r="AX19" s="263" t="str">
        <f>TEXT(4.83%, "0.00%")</f>
        <v>4.83%</v>
      </c>
      <c r="AY19" s="8"/>
      <c r="AZ19" s="263" t="s">
        <v>188</v>
      </c>
      <c r="BA19" s="263" t="s">
        <v>188</v>
      </c>
      <c r="BB19" s="263" t="s">
        <v>188</v>
      </c>
      <c r="BC19" s="263" t="s">
        <v>188</v>
      </c>
      <c r="BD19" s="8"/>
    </row>
    <row r="20" spans="1:56" s="18" customFormat="1" x14ac:dyDescent="0.3">
      <c r="A20" s="163" t="s">
        <v>18</v>
      </c>
      <c r="B20" s="263" t="str">
        <f>TEXT(6.19%, "0.00%")</f>
        <v>6.19%</v>
      </c>
      <c r="C20" s="263" t="str">
        <f>TEXT(6.27%, "0.00%")</f>
        <v>6.27%</v>
      </c>
      <c r="D20" s="263" t="str">
        <f>TEXT(6.36%, "0.00%")</f>
        <v>6.36%</v>
      </c>
      <c r="E20" s="263" t="str">
        <f>TEXT(6.34%, "0.00%")</f>
        <v>6.34%</v>
      </c>
      <c r="F20" s="8"/>
      <c r="G20" s="263" t="s">
        <v>188</v>
      </c>
      <c r="H20" s="263" t="s">
        <v>188</v>
      </c>
      <c r="I20" s="263" t="s">
        <v>188</v>
      </c>
      <c r="J20" s="263" t="s">
        <v>188</v>
      </c>
      <c r="K20" s="8"/>
      <c r="L20" s="263" t="str">
        <f>TEXT(7%, "0.00%")</f>
        <v>7.00%</v>
      </c>
      <c r="M20" s="263" t="str">
        <f>TEXT(7.37%, "0.00%")</f>
        <v>7.37%</v>
      </c>
      <c r="N20" s="263" t="str">
        <f>TEXT(7.45%, "0.00%")</f>
        <v>7.45%</v>
      </c>
      <c r="O20" s="263" t="str">
        <f>TEXT(6.34%, "0.00%")</f>
        <v>6.34%</v>
      </c>
      <c r="P20" s="8"/>
      <c r="Q20" s="263" t="str">
        <f>TEXT(6.69%, "0.00%")</f>
        <v>6.69%</v>
      </c>
      <c r="R20" s="263" t="str">
        <f>TEXT(7.55%, "0.00%")</f>
        <v>7.55%</v>
      </c>
      <c r="S20" s="263" t="str">
        <f>TEXT(7.79%, "0.00%")</f>
        <v>7.79%</v>
      </c>
      <c r="T20" s="263" t="str">
        <f>TEXT(6.52%, "0.00%")</f>
        <v>6.52%</v>
      </c>
      <c r="U20" s="8"/>
      <c r="V20" s="263" t="str">
        <f>TEXT(6.07%, "0.00%")</f>
        <v>6.07%</v>
      </c>
      <c r="W20" s="263" t="str">
        <f>TEXT(6.89%, "0.00%")</f>
        <v>6.89%</v>
      </c>
      <c r="X20" s="263" t="str">
        <f>TEXT(7.52%, "0.00%")</f>
        <v>7.52%</v>
      </c>
      <c r="Y20" s="263" t="str">
        <f>TEXT(6.52%, "0.00%")</f>
        <v>6.52%</v>
      </c>
      <c r="Z20" s="8"/>
      <c r="AA20" s="263" t="str">
        <f>TEXT(6.63%, "0.00%")</f>
        <v>6.63%</v>
      </c>
      <c r="AB20" s="263" t="str">
        <f>TEXT(6.93%, "0.00%")</f>
        <v>6.93%</v>
      </c>
      <c r="AC20" s="263" t="str">
        <f>TEXT(6.77%, "0.00%")</f>
        <v>6.77%</v>
      </c>
      <c r="AD20" s="263" t="str">
        <f>TEXT(6.34%, "0.00%")</f>
        <v>6.34%</v>
      </c>
      <c r="AE20" s="8"/>
      <c r="AF20" s="263" t="str">
        <f>TEXT(6.64%, "0.00%")</f>
        <v>6.64%</v>
      </c>
      <c r="AG20" s="263" t="str">
        <f>TEXT(7.33%, "0.00%")</f>
        <v>7.33%</v>
      </c>
      <c r="AH20" s="263" t="str">
        <f>TEXT(8.34%, "0.00%")</f>
        <v>8.34%</v>
      </c>
      <c r="AI20" s="263" t="str">
        <f>TEXT(6.52%, "0.00%")</f>
        <v>6.52%</v>
      </c>
      <c r="AJ20" s="8"/>
      <c r="AK20" s="263" t="str">
        <f>TEXT(6.59%, "0.00%")</f>
        <v>6.59%</v>
      </c>
      <c r="AL20" s="263" t="str">
        <f>TEXT(7.11%, "0.00%")</f>
        <v>7.11%</v>
      </c>
      <c r="AM20" s="263" t="str">
        <f>TEXT(6.99%, "0.00%")</f>
        <v>6.99%</v>
      </c>
      <c r="AN20" s="263" t="str">
        <f>TEXT(6.34%, "0.00%")</f>
        <v>6.34%</v>
      </c>
      <c r="AO20" s="8"/>
      <c r="AP20" s="263" t="str">
        <f>TEXT(6.68%, "0.00%")</f>
        <v>6.68%</v>
      </c>
      <c r="AQ20" s="263" t="str">
        <f>TEXT(7.21%, "0.00%")</f>
        <v>7.21%</v>
      </c>
      <c r="AR20" s="263" t="str">
        <f>TEXT(7.95%, "0.00%")</f>
        <v>7.95%</v>
      </c>
      <c r="AS20" s="263" t="str">
        <f>TEXT(6.52%, "0.00%")</f>
        <v>6.52%</v>
      </c>
      <c r="AT20" s="8"/>
      <c r="AU20" s="263" t="str">
        <f>TEXT(5.07%, "0.00%")</f>
        <v>5.07%</v>
      </c>
      <c r="AV20" s="263" t="str">
        <f>TEXT(6.04%, "0.00%")</f>
        <v>6.04%</v>
      </c>
      <c r="AW20" s="263" t="str">
        <f>TEXT(8.77%, "0.00%")</f>
        <v>8.77%</v>
      </c>
      <c r="AX20" s="263" t="str">
        <f>TEXT(6.52%, "0.00%")</f>
        <v>6.52%</v>
      </c>
      <c r="AY20" s="8"/>
      <c r="AZ20" s="263" t="s">
        <v>188</v>
      </c>
      <c r="BA20" s="263" t="s">
        <v>188</v>
      </c>
      <c r="BB20" s="263" t="s">
        <v>188</v>
      </c>
      <c r="BC20" s="263" t="s">
        <v>188</v>
      </c>
      <c r="BD20" s="8"/>
    </row>
    <row r="21" spans="1:56" s="18" customFormat="1" x14ac:dyDescent="0.3">
      <c r="A21" s="163" t="s">
        <v>19</v>
      </c>
      <c r="B21" s="263" t="str">
        <f>TEXT(7.12%, "0.00%")</f>
        <v>7.12%</v>
      </c>
      <c r="C21" s="263" t="s">
        <v>188</v>
      </c>
      <c r="D21" s="263" t="str">
        <f>TEXT(7.12%, "0.00%")</f>
        <v>7.12%</v>
      </c>
      <c r="E21" s="263" t="str">
        <f>TEXT(6.71%, "0.00%")</f>
        <v>6.71%</v>
      </c>
      <c r="F21" s="8"/>
      <c r="G21" s="263" t="s">
        <v>188</v>
      </c>
      <c r="H21" s="263" t="s">
        <v>188</v>
      </c>
      <c r="I21" s="263" t="s">
        <v>188</v>
      </c>
      <c r="J21" s="263" t="s">
        <v>188</v>
      </c>
      <c r="K21" s="8"/>
      <c r="L21" s="263" t="str">
        <f>TEXT(7.66%, "0.00%")</f>
        <v>7.66%</v>
      </c>
      <c r="M21" s="263" t="s">
        <v>188</v>
      </c>
      <c r="N21" s="263" t="str">
        <f>TEXT(8.14%, "0.00%")</f>
        <v>8.14%</v>
      </c>
      <c r="O21" s="263" t="str">
        <f>TEXT(6.71%, "0.00%")</f>
        <v>6.71%</v>
      </c>
      <c r="P21" s="8"/>
      <c r="Q21" s="263" t="str">
        <f>TEXT(7.34%, "0.00%")</f>
        <v>7.34%</v>
      </c>
      <c r="R21" s="263" t="s">
        <v>188</v>
      </c>
      <c r="S21" s="263" t="str">
        <f>TEXT(8.25%, "0.00%")</f>
        <v>8.25%</v>
      </c>
      <c r="T21" s="263" t="str">
        <f>TEXT(6.82%, "0.00%")</f>
        <v>6.82%</v>
      </c>
      <c r="U21" s="8"/>
      <c r="V21" s="263" t="str">
        <f>TEXT(6.91%, "0.00%")</f>
        <v>6.91%</v>
      </c>
      <c r="W21" s="263" t="s">
        <v>188</v>
      </c>
      <c r="X21" s="263" t="str">
        <f>TEXT(8.2%, "0.00%")</f>
        <v>8.20%</v>
      </c>
      <c r="Y21" s="263" t="str">
        <f>TEXT(6.82%, "0.00%")</f>
        <v>6.82%</v>
      </c>
      <c r="Z21" s="8"/>
      <c r="AA21" s="263" t="str">
        <f>TEXT(7.54%, "0.00%")</f>
        <v>7.54%</v>
      </c>
      <c r="AB21" s="263" t="s">
        <v>188</v>
      </c>
      <c r="AC21" s="263" t="str">
        <f>TEXT(7.52%, "0.00%")</f>
        <v>7.52%</v>
      </c>
      <c r="AD21" s="263" t="str">
        <f>TEXT(6.71%, "0.00%")</f>
        <v>6.71%</v>
      </c>
      <c r="AE21" s="8"/>
      <c r="AF21" s="263" t="str">
        <f>TEXT(7.41%, "0.00%")</f>
        <v>7.41%</v>
      </c>
      <c r="AG21" s="263" t="s">
        <v>188</v>
      </c>
      <c r="AH21" s="263" t="str">
        <f>TEXT(8.95%, "0.00%")</f>
        <v>8.95%</v>
      </c>
      <c r="AI21" s="263" t="str">
        <f>TEXT(6.82%, "0.00%")</f>
        <v>6.82%</v>
      </c>
      <c r="AJ21" s="8"/>
      <c r="AK21" s="263" t="str">
        <f>TEXT(7.19%, "0.00%")</f>
        <v>7.19%</v>
      </c>
      <c r="AL21" s="263" t="s">
        <v>188</v>
      </c>
      <c r="AM21" s="263" t="str">
        <f>TEXT(7.75%, "0.00%")</f>
        <v>7.75%</v>
      </c>
      <c r="AN21" s="263" t="str">
        <f>TEXT(6.71%, "0.00%")</f>
        <v>6.71%</v>
      </c>
      <c r="AO21" s="8"/>
      <c r="AP21" s="263" t="s">
        <v>188</v>
      </c>
      <c r="AQ21" s="263" t="s">
        <v>188</v>
      </c>
      <c r="AR21" s="263" t="s">
        <v>188</v>
      </c>
      <c r="AS21" s="263" t="s">
        <v>188</v>
      </c>
      <c r="AT21" s="8"/>
      <c r="AU21" s="263" t="s">
        <v>188</v>
      </c>
      <c r="AV21" s="263" t="s">
        <v>188</v>
      </c>
      <c r="AW21" s="263" t="s">
        <v>188</v>
      </c>
      <c r="AX21" s="263" t="s">
        <v>188</v>
      </c>
      <c r="AY21" s="8"/>
      <c r="AZ21" s="263" t="s">
        <v>188</v>
      </c>
      <c r="BA21" s="263" t="s">
        <v>188</v>
      </c>
      <c r="BB21" s="263" t="s">
        <v>188</v>
      </c>
      <c r="BC21" s="263" t="s">
        <v>188</v>
      </c>
      <c r="BD21" s="8"/>
    </row>
    <row r="22" spans="1:56" s="18" customFormat="1" x14ac:dyDescent="0.3">
      <c r="A22" s="163" t="s">
        <v>22</v>
      </c>
      <c r="B22" s="263" t="str">
        <f>TEXT(7.22%, "0.00%")</f>
        <v>7.22%</v>
      </c>
      <c r="C22" s="263" t="s">
        <v>188</v>
      </c>
      <c r="D22" s="263" t="str">
        <f>TEXT(7.02%, "0.00%")</f>
        <v>7.02%</v>
      </c>
      <c r="E22" s="263" t="str">
        <f>TEXT(6.21%, "0.00%")</f>
        <v>6.21%</v>
      </c>
      <c r="F22" s="8"/>
      <c r="G22" s="263" t="str">
        <f>TEXT(3.21%, "0.00%")</f>
        <v>3.21%</v>
      </c>
      <c r="H22" s="263" t="s">
        <v>188</v>
      </c>
      <c r="I22" s="263" t="str">
        <f>TEXT(3.35%, "0.00%")</f>
        <v>3.35%</v>
      </c>
      <c r="J22" s="263" t="str">
        <f>TEXT(4.55%, "0.00%")</f>
        <v>4.55%</v>
      </c>
      <c r="K22" s="8"/>
      <c r="L22" s="263" t="str">
        <f>TEXT(7.7%, "0.00%")</f>
        <v>7.70%</v>
      </c>
      <c r="M22" s="263" t="s">
        <v>188</v>
      </c>
      <c r="N22" s="263" t="str">
        <f>TEXT(7.57%, "0.00%")</f>
        <v>7.57%</v>
      </c>
      <c r="O22" s="263" t="str">
        <f>TEXT(6.23%, "0.00%")</f>
        <v>6.23%</v>
      </c>
      <c r="P22" s="8"/>
      <c r="Q22" s="263" t="str">
        <f>TEXT(7.45%, "0.00%")</f>
        <v>7.45%</v>
      </c>
      <c r="R22" s="263" t="s">
        <v>188</v>
      </c>
      <c r="S22" s="263" t="str">
        <f>TEXT(8.02%, "0.00%")</f>
        <v>8.02%</v>
      </c>
      <c r="T22" s="263" t="str">
        <f>TEXT(6.63%, "0.00%")</f>
        <v>6.63%</v>
      </c>
      <c r="U22" s="8"/>
      <c r="V22" s="263" t="str">
        <f>TEXT(6.03%, "0.00%")</f>
        <v>6.03%</v>
      </c>
      <c r="W22" s="263" t="s">
        <v>188</v>
      </c>
      <c r="X22" s="263" t="str">
        <f>TEXT(7.69%, "0.00%")</f>
        <v>7.69%</v>
      </c>
      <c r="Y22" s="263" t="str">
        <f>TEXT(6.34%, "0.00%")</f>
        <v>6.34%</v>
      </c>
      <c r="Z22" s="8"/>
      <c r="AA22" s="263" t="str">
        <f>TEXT(7.51%, "0.00%")</f>
        <v>7.51%</v>
      </c>
      <c r="AB22" s="263" t="s">
        <v>188</v>
      </c>
      <c r="AC22" s="263" t="str">
        <f>TEXT(7.28%, "0.00%")</f>
        <v>7.28%</v>
      </c>
      <c r="AD22" s="263" t="str">
        <f>TEXT(6.23%, "0.00%")</f>
        <v>6.23%</v>
      </c>
      <c r="AE22" s="8"/>
      <c r="AF22" s="263" t="str">
        <f>TEXT(6.71%, "0.00%")</f>
        <v>6.71%</v>
      </c>
      <c r="AG22" s="263" t="s">
        <v>188</v>
      </c>
      <c r="AH22" s="263" t="str">
        <f>TEXT(9.14%, "0.00%")</f>
        <v>9.14%</v>
      </c>
      <c r="AI22" s="263" t="str">
        <f>TEXT(6.58%, "0.00%")</f>
        <v>6.58%</v>
      </c>
      <c r="AJ22" s="8"/>
      <c r="AK22" s="263" t="str">
        <f>TEXT(7.3%, "0.00%")</f>
        <v>7.30%</v>
      </c>
      <c r="AL22" s="263"/>
      <c r="AM22" s="263" t="str">
        <f>TEXT(7.88%, "0.00%")</f>
        <v>7.88%</v>
      </c>
      <c r="AN22" s="263" t="str">
        <f>TEXT(6.69%, "0.00%")</f>
        <v>6.69%</v>
      </c>
      <c r="AO22" s="8"/>
      <c r="AP22" s="263" t="str">
        <f>TEXT(7.04%, "0.00%")</f>
        <v>7.04%</v>
      </c>
      <c r="AQ22" s="263" t="s">
        <v>188</v>
      </c>
      <c r="AR22" s="263" t="str">
        <f>TEXT(8.47%, "0.00%")</f>
        <v>8.47%</v>
      </c>
      <c r="AS22" s="263" t="str">
        <f>TEXT(6.69%, "0.00%")</f>
        <v>6.69%</v>
      </c>
      <c r="AT22" s="8"/>
      <c r="AU22" s="263" t="str">
        <f>TEXT(5.48%, "0.00%")</f>
        <v>5.48%</v>
      </c>
      <c r="AV22" s="263" t="s">
        <v>188</v>
      </c>
      <c r="AW22" s="263" t="str">
        <f>TEXT(8.92%, "0.00%")</f>
        <v>8.92%</v>
      </c>
      <c r="AX22" s="263" t="str">
        <f>TEXT(7.38%, "0.00%")</f>
        <v>7.38%</v>
      </c>
      <c r="AY22" s="8"/>
      <c r="AZ22" s="263" t="str">
        <f>TEXT(1.76%, "0.00%")</f>
        <v>1.76%</v>
      </c>
      <c r="BA22" s="263" t="s">
        <v>188</v>
      </c>
      <c r="BB22" s="263" t="str">
        <f>TEXT(2.36%, "0.00%")</f>
        <v>2.36%</v>
      </c>
      <c r="BC22" s="263" t="str">
        <f>TEXT(-0.41%, "0.00%")</f>
        <v>-0.41%</v>
      </c>
      <c r="BD22" s="8"/>
    </row>
    <row r="23" spans="1:56" s="18" customFormat="1" x14ac:dyDescent="0.3">
      <c r="A23" s="163" t="s">
        <v>23</v>
      </c>
      <c r="B23" s="263" t="s">
        <v>188</v>
      </c>
      <c r="C23" s="263" t="str">
        <f>TEXT(6.94%, "0.00%")</f>
        <v>6.94%</v>
      </c>
      <c r="D23" s="263" t="str">
        <f>TEXT(6.98%, "0.00%")</f>
        <v>6.98%</v>
      </c>
      <c r="E23" s="263" t="str">
        <f>TEXT(6.56%, "0.00%")</f>
        <v>6.56%</v>
      </c>
      <c r="F23" s="8"/>
      <c r="G23" s="263" t="s">
        <v>188</v>
      </c>
      <c r="H23" s="263" t="str">
        <f>TEXT(3.27%, "0.00%")</f>
        <v>3.27%</v>
      </c>
      <c r="I23" s="263" t="str">
        <f>TEXT(3.35%, "0.00%")</f>
        <v>3.35%</v>
      </c>
      <c r="J23" s="263" t="str">
        <f>TEXT(4.55%, "0.00%")</f>
        <v>4.55%</v>
      </c>
      <c r="K23" s="8"/>
      <c r="L23" s="263" t="s">
        <v>188</v>
      </c>
      <c r="M23" s="263" t="str">
        <f>TEXT(7.82%, "0.00%")</f>
        <v>7.82%</v>
      </c>
      <c r="N23" s="263" t="str">
        <f>TEXT(7.91%, "0.00%")</f>
        <v>7.91%</v>
      </c>
      <c r="O23" s="263" t="str">
        <f>TEXT(6.56%, "0.00%")</f>
        <v>6.56%</v>
      </c>
      <c r="P23" s="8"/>
      <c r="Q23" s="263" t="s">
        <v>188</v>
      </c>
      <c r="R23" s="263" t="str">
        <f>TEXT(7.99%, "0.00%")</f>
        <v>7.99%</v>
      </c>
      <c r="S23" s="263" t="str">
        <f>TEXT(8.17%, "0.00%")</f>
        <v>8.17%</v>
      </c>
      <c r="T23" s="263" t="str">
        <f>TEXT(6.6%, "0.00%")</f>
        <v>6.60%</v>
      </c>
      <c r="U23" s="8"/>
      <c r="V23" s="263" t="s">
        <v>188</v>
      </c>
      <c r="W23" s="263" t="str">
        <f>TEXT(7.7%, "0.00%")</f>
        <v>7.70%</v>
      </c>
      <c r="X23" s="263" t="str">
        <f>TEXT(7.89%, "0.00%")</f>
        <v>7.89%</v>
      </c>
      <c r="Y23" s="263" t="str">
        <f>TEXT(6.6%, "0.00%")</f>
        <v>6.60%</v>
      </c>
      <c r="Z23" s="8"/>
      <c r="AA23" s="263" t="s">
        <v>188</v>
      </c>
      <c r="AB23" s="263" t="str">
        <f>TEXT(7.57%, "0.00%")</f>
        <v>7.57%</v>
      </c>
      <c r="AC23" s="263" t="str">
        <f>TEXT(7.29%, "0.00%")</f>
        <v>7.29%</v>
      </c>
      <c r="AD23" s="263" t="str">
        <f>TEXT(6.56%, "0.00%")</f>
        <v>6.56%</v>
      </c>
      <c r="AE23" s="8"/>
      <c r="AF23" s="263" t="s">
        <v>188</v>
      </c>
      <c r="AG23" s="263" t="str">
        <f>TEXT(7.74%, "0.00%")</f>
        <v>7.74%</v>
      </c>
      <c r="AH23" s="263" t="str">
        <f>TEXT(8.73%, "0.00%")</f>
        <v>8.73%</v>
      </c>
      <c r="AI23" s="263" t="str">
        <f>TEXT(6.6%, "0.00%")</f>
        <v>6.60%</v>
      </c>
      <c r="AJ23" s="8"/>
      <c r="AK23" s="263" t="s">
        <v>188</v>
      </c>
      <c r="AL23" s="263" t="str">
        <f>TEXT(7.59%, "0.00%")</f>
        <v>7.59%</v>
      </c>
      <c r="AM23" s="263" t="str">
        <f>TEXT(7.51%, "0.00%")</f>
        <v>7.51%</v>
      </c>
      <c r="AN23" s="263" t="str">
        <f>TEXT(6.56%, "0.00%")</f>
        <v>6.56%</v>
      </c>
      <c r="AO23" s="8"/>
      <c r="AP23" s="263" t="s">
        <v>188</v>
      </c>
      <c r="AQ23" s="263" t="str">
        <f>TEXT(7.67%, "0.00%")</f>
        <v>7.67%</v>
      </c>
      <c r="AR23" s="263" t="str">
        <f>TEXT(8.44%, "0.00%")</f>
        <v>8.44%</v>
      </c>
      <c r="AS23" s="263" t="str">
        <f>TEXT(6.6%, "0.00%")</f>
        <v>6.60%</v>
      </c>
      <c r="AT23" s="8"/>
      <c r="AU23" s="263" t="s">
        <v>188</v>
      </c>
      <c r="AV23" s="263" t="str">
        <f>TEXT(6.44%, "0.00%")</f>
        <v>6.44%</v>
      </c>
      <c r="AW23" s="263" t="str">
        <f>TEXT(8.92%, "0.00%")</f>
        <v>8.92%</v>
      </c>
      <c r="AX23" s="263" t="str">
        <f>TEXT(7.38%, "0.00%")</f>
        <v>7.38%</v>
      </c>
      <c r="AY23" s="8"/>
      <c r="AZ23" s="263" t="s">
        <v>188</v>
      </c>
      <c r="BA23" s="263" t="str">
        <f>TEXT(2.29%, "0.00%")</f>
        <v>2.29%</v>
      </c>
      <c r="BB23" s="263" t="str">
        <f>TEXT(2.36%, "0.00%")</f>
        <v>2.36%</v>
      </c>
      <c r="BC23" s="263" t="str">
        <f>TEXT(-0.41%, "0.00%")</f>
        <v>-0.41%</v>
      </c>
      <c r="BD23" s="8"/>
    </row>
    <row r="24" spans="1:56" s="18" customFormat="1" ht="17.100000000000001" customHeight="1" x14ac:dyDescent="0.3">
      <c r="A24" s="163"/>
      <c r="B24" s="411" t="s">
        <v>21</v>
      </c>
      <c r="C24" s="411"/>
      <c r="D24" s="411"/>
      <c r="E24" s="411"/>
      <c r="F24" s="8"/>
      <c r="G24" s="411" t="s">
        <v>21</v>
      </c>
      <c r="H24" s="411"/>
      <c r="I24" s="411"/>
      <c r="J24" s="411"/>
      <c r="K24" s="8"/>
      <c r="L24" s="411" t="s">
        <v>21</v>
      </c>
      <c r="M24" s="411"/>
      <c r="N24" s="411"/>
      <c r="O24" s="411"/>
      <c r="P24" s="8"/>
      <c r="Q24" s="411" t="s">
        <v>21</v>
      </c>
      <c r="R24" s="411"/>
      <c r="S24" s="411"/>
      <c r="T24" s="411"/>
      <c r="U24" s="8"/>
      <c r="V24" s="411" t="s">
        <v>21</v>
      </c>
      <c r="W24" s="411"/>
      <c r="X24" s="411"/>
      <c r="Y24" s="411"/>
      <c r="Z24" s="8"/>
      <c r="AA24" s="411" t="s">
        <v>21</v>
      </c>
      <c r="AB24" s="411"/>
      <c r="AC24" s="411"/>
      <c r="AD24" s="411"/>
      <c r="AE24" s="8"/>
      <c r="AF24" s="411" t="s">
        <v>21</v>
      </c>
      <c r="AG24" s="411"/>
      <c r="AH24" s="411"/>
      <c r="AI24" s="411"/>
      <c r="AJ24" s="8"/>
      <c r="AK24" s="413" t="s">
        <v>21</v>
      </c>
      <c r="AL24" s="414"/>
      <c r="AM24" s="414"/>
      <c r="AN24" s="415"/>
      <c r="AO24" s="8"/>
      <c r="AP24" s="411" t="s">
        <v>21</v>
      </c>
      <c r="AQ24" s="411"/>
      <c r="AR24" s="411"/>
      <c r="AS24" s="411"/>
      <c r="AT24" s="8"/>
      <c r="AU24" s="411" t="s">
        <v>21</v>
      </c>
      <c r="AV24" s="411"/>
      <c r="AW24" s="411"/>
      <c r="AX24" s="411"/>
      <c r="AY24" s="8"/>
      <c r="AZ24" s="411" t="s">
        <v>21</v>
      </c>
      <c r="BA24" s="411"/>
      <c r="BB24" s="411"/>
      <c r="BC24" s="411"/>
      <c r="BD24" s="8"/>
    </row>
    <row r="25" spans="1:56" s="18" customFormat="1" x14ac:dyDescent="0.3">
      <c r="A25" s="163" t="s">
        <v>4</v>
      </c>
      <c r="B25" s="263" t="str">
        <f>TEXT("10,329", "0,0")</f>
        <v>10,329</v>
      </c>
      <c r="C25" s="263" t="str">
        <f>TEXT("10,337", "0,0")</f>
        <v>10,337</v>
      </c>
      <c r="D25" s="263" t="str">
        <f>TEXT("10,364", "0,0")</f>
        <v>10,364</v>
      </c>
      <c r="E25" s="263" t="str">
        <f>TEXT("10,352", "0,0")</f>
        <v>10,352</v>
      </c>
      <c r="F25" s="8"/>
      <c r="G25" s="263" t="str">
        <f>TEXT("10,316", "0,0")</f>
        <v>10,316</v>
      </c>
      <c r="H25" s="263" t="str">
        <f>TEXT("10,322", "0,0")</f>
        <v>10,322</v>
      </c>
      <c r="I25" s="263" t="str">
        <f>TEXT("10,332", "0,0")</f>
        <v>10,332</v>
      </c>
      <c r="J25" s="263" t="str">
        <f>TEXT("10,352", "0,0")</f>
        <v>10,352</v>
      </c>
      <c r="K25" s="8"/>
      <c r="L25" s="263" t="str">
        <f>TEXT("10,370", "0,0")</f>
        <v>10,370</v>
      </c>
      <c r="M25" s="263" t="str">
        <f>TEXT("10,404", "0,0")</f>
        <v>10,404</v>
      </c>
      <c r="N25" s="263" t="str">
        <f>TEXT("10,444", "0,0")</f>
        <v>10,444</v>
      </c>
      <c r="O25" s="263" t="str">
        <f>TEXT("10,354", "0,0")</f>
        <v>10,354</v>
      </c>
      <c r="P25" s="8"/>
      <c r="Q25" s="263" t="str">
        <f>TEXT("10,312", "0,0")</f>
        <v>10,312</v>
      </c>
      <c r="R25" s="263" t="str">
        <f>TEXT("10,400", "0,0")</f>
        <v>10,400</v>
      </c>
      <c r="S25" s="263" t="str">
        <f>TEXT("10,474", "0,0")</f>
        <v>10,474</v>
      </c>
      <c r="T25" s="263" t="str">
        <f>TEXT("10,011", "0,0")</f>
        <v>10,011</v>
      </c>
      <c r="U25" s="8"/>
      <c r="V25" s="263" t="str">
        <f>TEXT("10,028", "0,0")</f>
        <v>10,028</v>
      </c>
      <c r="W25" s="263" t="str">
        <f>TEXT("10,106", "0,0")</f>
        <v>10,106</v>
      </c>
      <c r="X25" s="263" t="str">
        <f>TEXT("10,237", "0,0")</f>
        <v>10,237</v>
      </c>
      <c r="Y25" s="263" t="str">
        <f>TEXT("10,011", "0,0")</f>
        <v>10,011</v>
      </c>
      <c r="Z25" s="8"/>
      <c r="AA25" s="263" t="str">
        <f>TEXT("10,365", "0,0")</f>
        <v>10,365</v>
      </c>
      <c r="AB25" s="263" t="str">
        <f>TEXT("10,401", "0,0")</f>
        <v>10,401</v>
      </c>
      <c r="AC25" s="263" t="str">
        <f>TEXT("10,413", "0,0")</f>
        <v>10,413</v>
      </c>
      <c r="AD25" s="263" t="str">
        <f>TEXT("10,354", "0,0")</f>
        <v>10,354</v>
      </c>
      <c r="AE25" s="8"/>
      <c r="AF25" s="263" t="str">
        <f>TEXT("10,390", "0,0")</f>
        <v>10,390</v>
      </c>
      <c r="AG25" s="263" t="str">
        <f>TEXT("10,431", "0,0")</f>
        <v>10,431</v>
      </c>
      <c r="AH25" s="263" t="str">
        <f>TEXT("10,487", "0,0")</f>
        <v>10,487</v>
      </c>
      <c r="AI25" s="263" t="str">
        <f>TEXT("10,011", "0,0")</f>
        <v>10,011</v>
      </c>
      <c r="AJ25" s="8"/>
      <c r="AK25" s="263" t="str">
        <f>TEXT("10,317", "0,0")</f>
        <v>10,317</v>
      </c>
      <c r="AL25" s="263" t="str">
        <f>TEXT("10,385", "0,0")</f>
        <v>10,385</v>
      </c>
      <c r="AM25" s="263" t="str">
        <f>TEXT("10,429", "0,0")</f>
        <v>10,429</v>
      </c>
      <c r="AN25" s="263" t="str">
        <f>TEXT("10,354", "0,0")</f>
        <v>10,354</v>
      </c>
      <c r="AO25" s="8"/>
      <c r="AP25" s="263" t="str">
        <f>TEXT("10,259", "0,0")</f>
        <v>10,259</v>
      </c>
      <c r="AQ25" s="263" t="str">
        <f>TEXT("10,303", "0,0")</f>
        <v>10,303</v>
      </c>
      <c r="AR25" s="263" t="str">
        <f>TEXT("10,416", "0,0")</f>
        <v>10,416</v>
      </c>
      <c r="AS25" s="263" t="str">
        <f>TEXT("10,011", "0,0")</f>
        <v>10,011</v>
      </c>
      <c r="AT25" s="8"/>
      <c r="AU25" s="263" t="str">
        <f>TEXT("10,316", "0,0")</f>
        <v>10,316</v>
      </c>
      <c r="AV25" s="263" t="str">
        <f>TEXT("10,439", "0,0")</f>
        <v>10,439</v>
      </c>
      <c r="AW25" s="263" t="str">
        <f>TEXT("10,695", "0,0")</f>
        <v>10,695</v>
      </c>
      <c r="AX25" s="263" t="str">
        <f>TEXT("10,011", "0,0")</f>
        <v>10,011</v>
      </c>
      <c r="AY25" s="8"/>
      <c r="AZ25" s="263" t="s">
        <v>188</v>
      </c>
      <c r="BA25" s="263" t="s">
        <v>188</v>
      </c>
      <c r="BB25" s="263" t="s">
        <v>188</v>
      </c>
      <c r="BC25" s="263" t="s">
        <v>188</v>
      </c>
      <c r="BD25" s="8"/>
    </row>
    <row r="26" spans="1:56" s="18" customFormat="1" x14ac:dyDescent="0.3">
      <c r="A26" s="163" t="s">
        <v>16</v>
      </c>
      <c r="B26" s="263" t="str">
        <f>TEXT("11,404", "0,0")</f>
        <v>11,404</v>
      </c>
      <c r="C26" s="263" t="str">
        <f>TEXT("11,428", "0,0")</f>
        <v>11,428</v>
      </c>
      <c r="D26" s="263" t="str">
        <f>TEXT("11,545", "0,0")</f>
        <v>11,545</v>
      </c>
      <c r="E26" s="263" t="str">
        <f>TEXT("11,719", "0,0")</f>
        <v>11,719</v>
      </c>
      <c r="F26" s="8"/>
      <c r="G26" s="263" t="s">
        <v>188</v>
      </c>
      <c r="H26" s="263" t="s">
        <v>188</v>
      </c>
      <c r="I26" s="263" t="s">
        <v>188</v>
      </c>
      <c r="J26" s="263" t="s">
        <v>188</v>
      </c>
      <c r="K26" s="8"/>
      <c r="L26" s="263" t="str">
        <f>TEXT("12,015", "0,0")</f>
        <v>12,015</v>
      </c>
      <c r="M26" s="263" t="str">
        <f>TEXT("12,129", "0,0")</f>
        <v>12,129</v>
      </c>
      <c r="N26" s="263" t="str">
        <f>TEXT("12,117", "0,0")</f>
        <v>12,117</v>
      </c>
      <c r="O26" s="263" t="str">
        <f>TEXT("11,719", "0,0")</f>
        <v>11,719</v>
      </c>
      <c r="P26" s="8"/>
      <c r="Q26" s="263" t="str">
        <f>TEXT("12,218", "0,0")</f>
        <v>12,218</v>
      </c>
      <c r="R26" s="263" t="str">
        <f>TEXT("12,533", "0,0")</f>
        <v>12,533</v>
      </c>
      <c r="S26" s="263" t="str">
        <f>TEXT("12,573", "0,0")</f>
        <v>12,573</v>
      </c>
      <c r="T26" s="263" t="str">
        <f>TEXT("12,111", "0,0")</f>
        <v>12,111</v>
      </c>
      <c r="U26" s="8"/>
      <c r="V26" s="263" t="str">
        <f>TEXT("11,861", "0,0")</f>
        <v>11,861</v>
      </c>
      <c r="W26" s="263" t="str">
        <f>TEXT("12,144", "0,0")</f>
        <v>12,144</v>
      </c>
      <c r="X26" s="263" t="str">
        <f>TEXT("12,614", "0,0")</f>
        <v>12,614</v>
      </c>
      <c r="Y26" s="263" t="str">
        <f>TEXT("12,111", "0,0")</f>
        <v>12,111</v>
      </c>
      <c r="Z26" s="8"/>
      <c r="AA26" s="263" t="str">
        <f>TEXT("11,665", "0,0")</f>
        <v>11,665</v>
      </c>
      <c r="AB26" s="263" t="str">
        <f>TEXT("11,775", "0,0")</f>
        <v>11,775</v>
      </c>
      <c r="AC26" s="263" t="str">
        <f>TEXT("11,769", "0,0")</f>
        <v>11,769</v>
      </c>
      <c r="AD26" s="263" t="str">
        <f>TEXT("11,719", "0,0")</f>
        <v>11,719</v>
      </c>
      <c r="AE26" s="8"/>
      <c r="AF26" s="263" t="str">
        <f>TEXT("12,552", "0,0")</f>
        <v>12,552</v>
      </c>
      <c r="AG26" s="263" t="str">
        <f>TEXT("12,703", "0,0")</f>
        <v>12,703</v>
      </c>
      <c r="AH26" s="263" t="str">
        <f>TEXT("12,962", "0,0")</f>
        <v>12,962</v>
      </c>
      <c r="AI26" s="263" t="str">
        <f>TEXT("12,111", "0,0")</f>
        <v>12,111</v>
      </c>
      <c r="AJ26" s="8"/>
      <c r="AK26" s="263" t="str">
        <f>TEXT("11,605", "0,0")</f>
        <v>11,605</v>
      </c>
      <c r="AL26" s="263" t="str">
        <f>TEXT("11,815", "0,0")</f>
        <v>11,815</v>
      </c>
      <c r="AM26" s="263" t="str">
        <f>TEXT("11,886", "0,0")</f>
        <v>11,886</v>
      </c>
      <c r="AN26" s="263" t="str">
        <f>TEXT("11,719", "0,0")</f>
        <v>11,719</v>
      </c>
      <c r="AO26" s="8"/>
      <c r="AP26" s="263" t="str">
        <f>TEXT("12,263", "0,0")</f>
        <v>12,263</v>
      </c>
      <c r="AQ26" s="263" t="str">
        <f>TEXT("12,423", "0,0")</f>
        <v>12,423</v>
      </c>
      <c r="AR26" s="263" t="str">
        <f>TEXT("12,626", "0,0")</f>
        <v>12,626</v>
      </c>
      <c r="AS26" s="263" t="str">
        <f>TEXT("12,111", "0,0")</f>
        <v>12,111</v>
      </c>
      <c r="AT26" s="8"/>
      <c r="AU26" s="263" t="str">
        <f>TEXT("11,351", "0,0")</f>
        <v>11,351</v>
      </c>
      <c r="AV26" s="263" t="str">
        <f>TEXT("11,744", "0,0")</f>
        <v>11,744</v>
      </c>
      <c r="AW26" s="263" t="str">
        <f>TEXT("12,989", "0,0")</f>
        <v>12,989</v>
      </c>
      <c r="AX26" s="263" t="str">
        <f>TEXT("12,111", "0,0")</f>
        <v>12,111</v>
      </c>
      <c r="AY26" s="8"/>
      <c r="AZ26" s="263" t="s">
        <v>188</v>
      </c>
      <c r="BA26" s="263" t="s">
        <v>188</v>
      </c>
      <c r="BB26" s="263" t="s">
        <v>188</v>
      </c>
      <c r="BC26" s="263" t="s">
        <v>188</v>
      </c>
      <c r="BD26" s="8"/>
    </row>
    <row r="27" spans="1:56" s="18" customFormat="1" x14ac:dyDescent="0.3">
      <c r="A27" s="163" t="s">
        <v>17</v>
      </c>
      <c r="B27" s="263" t="str">
        <f>TEXT("13,076", "0,0")</f>
        <v>13,076</v>
      </c>
      <c r="C27" s="263" t="str">
        <f>TEXT("13,122", "0,0")</f>
        <v>13,122</v>
      </c>
      <c r="D27" s="263" t="str">
        <f>TEXT("13,262", "0,0")</f>
        <v>13,262</v>
      </c>
      <c r="E27" s="263" t="str">
        <f>TEXT("13,275", "0,0")</f>
        <v>13,275</v>
      </c>
      <c r="F27" s="8"/>
      <c r="G27" s="263" t="s">
        <v>188</v>
      </c>
      <c r="H27" s="263" t="s">
        <v>188</v>
      </c>
      <c r="I27" s="263" t="s">
        <v>188</v>
      </c>
      <c r="J27" s="263" t="s">
        <v>188</v>
      </c>
      <c r="K27" s="8"/>
      <c r="L27" s="263" t="str">
        <f>TEXT("13,686", "0,0")</f>
        <v>13,686</v>
      </c>
      <c r="M27" s="263" t="str">
        <f>TEXT("13,922", "0,0")</f>
        <v>13,922</v>
      </c>
      <c r="N27" s="263" t="str">
        <f>TEXT("13,932", "0,0")</f>
        <v>13,932</v>
      </c>
      <c r="O27" s="263" t="str">
        <f>TEXT("13,275", "0,0")</f>
        <v>13,275</v>
      </c>
      <c r="P27" s="8"/>
      <c r="Q27" s="263" t="str">
        <f>TEXT("13,507", "0,0")</f>
        <v>13,507</v>
      </c>
      <c r="R27" s="263" t="str">
        <f>TEXT("14,074", "0,0")</f>
        <v>14,074</v>
      </c>
      <c r="S27" s="263" t="str">
        <f>TEXT("14,191", "0,0")</f>
        <v>14,191</v>
      </c>
      <c r="T27" s="263" t="str">
        <f>TEXT("12,662", "0,0")</f>
        <v>12,662</v>
      </c>
      <c r="U27" s="8"/>
      <c r="V27" s="263" t="str">
        <f>TEXT("12,584", "0,0")</f>
        <v>12,584</v>
      </c>
      <c r="W27" s="263" t="str">
        <f>TEXT("13,079", "0,0")</f>
        <v>13,079</v>
      </c>
      <c r="X27" s="263" t="str">
        <f>TEXT("13,648", "0,0")</f>
        <v>13,648</v>
      </c>
      <c r="Y27" s="263" t="str">
        <f>TEXT("12,662", "0,0")</f>
        <v>12,662</v>
      </c>
      <c r="Z27" s="8"/>
      <c r="AA27" s="263" t="str">
        <f>TEXT("13,394", "0,0")</f>
        <v>13,394</v>
      </c>
      <c r="AB27" s="263" t="str">
        <f>TEXT("13,589", "0,0")</f>
        <v>13,589</v>
      </c>
      <c r="AC27" s="263" t="str">
        <f>TEXT("13,572", "0,0")</f>
        <v>13,572</v>
      </c>
      <c r="AD27" s="263" t="str">
        <f>TEXT("13,275", "0,0")</f>
        <v>13,275</v>
      </c>
      <c r="AE27" s="8"/>
      <c r="AF27" s="263" t="str">
        <f>TEXT("13,243", "0,0")</f>
        <v>13,243</v>
      </c>
      <c r="AG27" s="263" t="str">
        <f>TEXT("13,591", "0,0")</f>
        <v>13,591</v>
      </c>
      <c r="AH27" s="263" t="str">
        <f>TEXT("14,394", "0,0")</f>
        <v>14,394</v>
      </c>
      <c r="AI27" s="263" t="str">
        <f>TEXT("12,662", "0,0")</f>
        <v>12,662</v>
      </c>
      <c r="AJ27" s="8"/>
      <c r="AK27" s="263" t="str">
        <f>TEXT("13,328", "0,0")</f>
        <v>13,328</v>
      </c>
      <c r="AL27" s="263" t="str">
        <f>TEXT("13,697", "0,0")</f>
        <v>13,697</v>
      </c>
      <c r="AM27" s="263" t="str">
        <f>TEXT("13,730", "0,0")</f>
        <v>13,730</v>
      </c>
      <c r="AN27" s="263" t="str">
        <f>TEXT("13,275", "0,0")</f>
        <v>13,275</v>
      </c>
      <c r="AO27" s="8"/>
      <c r="AP27" s="263" t="str">
        <f>TEXT("13,791", "0,0")</f>
        <v>13,791</v>
      </c>
      <c r="AQ27" s="263" t="str">
        <f>TEXT("14,083", "0,0")</f>
        <v>14,083</v>
      </c>
      <c r="AR27" s="263" t="str">
        <f>TEXT("14,276", "0,0")</f>
        <v>14,276</v>
      </c>
      <c r="AS27" s="263" t="str">
        <f>TEXT("12,662", "0,0")</f>
        <v>12,662</v>
      </c>
      <c r="AT27" s="8"/>
      <c r="AU27" s="263" t="str">
        <f>TEXT("11,686", "0,0")</f>
        <v>11,686</v>
      </c>
      <c r="AV27" s="263" t="str">
        <f>TEXT("12,273", "0,0")</f>
        <v>12,273</v>
      </c>
      <c r="AW27" s="263" t="str">
        <f>TEXT("14,866", "0,0")</f>
        <v>14,866</v>
      </c>
      <c r="AX27" s="263" t="str">
        <f>TEXT("12,662", "0,0")</f>
        <v>12,662</v>
      </c>
      <c r="AY27" s="8"/>
      <c r="AZ27" s="263" t="s">
        <v>188</v>
      </c>
      <c r="BA27" s="263" t="s">
        <v>188</v>
      </c>
      <c r="BB27" s="263" t="s">
        <v>188</v>
      </c>
      <c r="BC27" s="263" t="s">
        <v>188</v>
      </c>
      <c r="BD27" s="8"/>
    </row>
    <row r="28" spans="1:56" s="18" customFormat="1" x14ac:dyDescent="0.3">
      <c r="A28" s="163" t="s">
        <v>18</v>
      </c>
      <c r="B28" s="263" t="str">
        <f>TEXT("15,237", "0,0")</f>
        <v>15,237</v>
      </c>
      <c r="C28" s="263" t="str">
        <f>TEXT("15,312", "0,0")</f>
        <v>15,312</v>
      </c>
      <c r="D28" s="263" t="str">
        <f>TEXT("15,403", "0,0")</f>
        <v>15,403</v>
      </c>
      <c r="E28" s="263" t="str">
        <f>TEXT("15,387", "0,0")</f>
        <v>15,387</v>
      </c>
      <c r="F28" s="8"/>
      <c r="G28" s="263" t="s">
        <v>188</v>
      </c>
      <c r="H28" s="263" t="s">
        <v>188</v>
      </c>
      <c r="I28" s="263" t="s">
        <v>188</v>
      </c>
      <c r="J28" s="263" t="s">
        <v>188</v>
      </c>
      <c r="K28" s="8"/>
      <c r="L28" s="263" t="str">
        <f>TEXT("16,072", "0,0")</f>
        <v>16,072</v>
      </c>
      <c r="M28" s="263" t="str">
        <f>TEXT("16,458", "0,0")</f>
        <v>16,458</v>
      </c>
      <c r="N28" s="263" t="str">
        <f>TEXT("16,546", "0,0")</f>
        <v>16,546</v>
      </c>
      <c r="O28" s="263" t="str">
        <f>TEXT("15,387", "0,0")</f>
        <v>15,387</v>
      </c>
      <c r="P28" s="8"/>
      <c r="Q28" s="263" t="str">
        <f>TEXT("15,741", "0,0")</f>
        <v>15,741</v>
      </c>
      <c r="R28" s="263" t="str">
        <f>TEXT("16,654", "0,0")</f>
        <v>16,654</v>
      </c>
      <c r="S28" s="263" t="str">
        <f>TEXT("16,915", "0,0")</f>
        <v>16,915</v>
      </c>
      <c r="T28" s="263" t="str">
        <f>TEXT("15,566", "0,0")</f>
        <v>15,566</v>
      </c>
      <c r="U28" s="8"/>
      <c r="V28" s="263" t="str">
        <f>TEXT("15,110", "0,0")</f>
        <v>15,110</v>
      </c>
      <c r="W28" s="263" t="str">
        <f>TEXT("15,953", "0,0")</f>
        <v>15,953</v>
      </c>
      <c r="X28" s="263" t="str">
        <f>TEXT("16,621", "0,0")</f>
        <v>16,621</v>
      </c>
      <c r="Y28" s="263" t="str">
        <f>TEXT("15,566", "0,0")</f>
        <v>15,566</v>
      </c>
      <c r="Z28" s="8"/>
      <c r="AA28" s="263" t="str">
        <f>TEXT("15,681", "0,0")</f>
        <v>15,681</v>
      </c>
      <c r="AB28" s="263" t="str">
        <f>TEXT("15,989", "0,0")</f>
        <v>15,989</v>
      </c>
      <c r="AC28" s="263" t="str">
        <f>TEXT("15,826", "0,0")</f>
        <v>15,826</v>
      </c>
      <c r="AD28" s="263" t="str">
        <f>TEXT("15,387", "0,0")</f>
        <v>15,387</v>
      </c>
      <c r="AE28" s="8"/>
      <c r="AF28" s="263" t="str">
        <f>TEXT("15,693", "0,0")</f>
        <v>15,693</v>
      </c>
      <c r="AG28" s="263" t="str">
        <f>TEXT("16,416", "0,0")</f>
        <v>16,416</v>
      </c>
      <c r="AH28" s="263" t="str">
        <f>TEXT("17,529", "0,0")</f>
        <v>17,529</v>
      </c>
      <c r="AI28" s="263" t="str">
        <f>TEXT("15,566", "0,0")</f>
        <v>15,566</v>
      </c>
      <c r="AJ28" s="8"/>
      <c r="AK28" s="263" t="str">
        <f>TEXT("15,637", "0,0")</f>
        <v>15,637</v>
      </c>
      <c r="AL28" s="263" t="str">
        <f>TEXT("16,182", "0,0")</f>
        <v>16,182</v>
      </c>
      <c r="AM28" s="263" t="str">
        <f>TEXT("16,056", "0,0")</f>
        <v>16,056</v>
      </c>
      <c r="AN28" s="263" t="str">
        <f>TEXT("15,387", "0,0")</f>
        <v>15,387</v>
      </c>
      <c r="AO28" s="8"/>
      <c r="AP28" s="263" t="str">
        <f>TEXT("15,728", "0,0")</f>
        <v>15,728</v>
      </c>
      <c r="AQ28" s="263" t="str">
        <f>TEXT("16,286", "0,0")</f>
        <v>16,286</v>
      </c>
      <c r="AR28" s="263" t="str">
        <f>TEXT("17,099", "0,0")</f>
        <v>17,099</v>
      </c>
      <c r="AS28" s="263" t="str">
        <f>TEXT("15,566", "0,0")</f>
        <v>15,566</v>
      </c>
      <c r="AT28" s="8"/>
      <c r="AU28" s="263" t="str">
        <f>TEXT("14,144", "0,0")</f>
        <v>14,144</v>
      </c>
      <c r="AV28" s="263" t="str">
        <f>TEXT("15,080", "0,0")</f>
        <v>15,080</v>
      </c>
      <c r="AW28" s="263" t="str">
        <f>TEXT("18,026", "0,0")</f>
        <v>18,026</v>
      </c>
      <c r="AX28" s="263" t="str">
        <f>TEXT("15,566", "0,0")</f>
        <v>15,566</v>
      </c>
      <c r="AY28" s="8"/>
      <c r="AZ28" s="263" t="s">
        <v>188</v>
      </c>
      <c r="BA28" s="263" t="s">
        <v>188</v>
      </c>
      <c r="BB28" s="263" t="s">
        <v>188</v>
      </c>
      <c r="BC28" s="263" t="s">
        <v>188</v>
      </c>
      <c r="BD28" s="8"/>
    </row>
    <row r="29" spans="1:56" s="18" customFormat="1" x14ac:dyDescent="0.3">
      <c r="A29" s="163" t="s">
        <v>19</v>
      </c>
      <c r="B29" s="263" t="str">
        <f>TEXT("19,902", "0,0")</f>
        <v>19,902</v>
      </c>
      <c r="C29" s="263" t="s">
        <v>188</v>
      </c>
      <c r="D29" s="263" t="str">
        <f>TEXT("19,898", "0,0")</f>
        <v>19,898</v>
      </c>
      <c r="E29" s="263" t="str">
        <f>TEXT("19,153", "0,0")</f>
        <v>19,153</v>
      </c>
      <c r="F29" s="8"/>
      <c r="G29" s="263" t="s">
        <v>188</v>
      </c>
      <c r="H29" s="263" t="s">
        <v>188</v>
      </c>
      <c r="I29" s="263" t="s">
        <v>188</v>
      </c>
      <c r="J29" s="263" t="s">
        <v>188</v>
      </c>
      <c r="K29" s="8"/>
      <c r="L29" s="263" t="str">
        <f>TEXT("20,933", "0,0")</f>
        <v>20,933</v>
      </c>
      <c r="M29" s="263" t="s">
        <v>188</v>
      </c>
      <c r="N29" s="263" t="str">
        <f>TEXT("21,887", "0,0")</f>
        <v>21,887</v>
      </c>
      <c r="O29" s="263" t="str">
        <f>TEXT("19,153", "0,0")</f>
        <v>19,153</v>
      </c>
      <c r="P29" s="8"/>
      <c r="Q29" s="263" t="str">
        <f>TEXT("20,319", "0,0")</f>
        <v>20,319</v>
      </c>
      <c r="R29" s="263" t="s">
        <v>188</v>
      </c>
      <c r="S29" s="263" t="str">
        <f>TEXT("22,116", "0,0")</f>
        <v>22,116</v>
      </c>
      <c r="T29" s="263" t="str">
        <f>TEXT("19,355", "0,0")</f>
        <v>19,355</v>
      </c>
      <c r="U29" s="8"/>
      <c r="V29" s="263" t="str">
        <f>TEXT("19,509", "0,0")</f>
        <v>19,509</v>
      </c>
      <c r="W29" s="263" t="s">
        <v>188</v>
      </c>
      <c r="X29" s="263" t="str">
        <f>TEXT("22,016", "0,0")</f>
        <v>22,016</v>
      </c>
      <c r="Y29" s="263" t="str">
        <f>TEXT("19,355", "0,0")</f>
        <v>19,355</v>
      </c>
      <c r="Z29" s="8"/>
      <c r="AA29" s="263" t="str">
        <f>TEXT("20,706", "0,0")</f>
        <v>20,706</v>
      </c>
      <c r="AB29" s="263" t="s">
        <v>188</v>
      </c>
      <c r="AC29" s="263" t="str">
        <f>TEXT("20,656", "0,0")</f>
        <v>20,656</v>
      </c>
      <c r="AD29" s="263" t="str">
        <f>TEXT("19,153", "0,0")</f>
        <v>19,153</v>
      </c>
      <c r="AE29" s="8"/>
      <c r="AF29" s="263" t="str">
        <f>TEXT("20,447", "0,0")</f>
        <v>20,447</v>
      </c>
      <c r="AG29" s="263" t="s">
        <v>188</v>
      </c>
      <c r="AH29" s="263" t="str">
        <f>TEXT("23,572", "0,0")</f>
        <v>23,572</v>
      </c>
      <c r="AI29" s="263" t="str">
        <f>TEXT("19,355", "0,0")</f>
        <v>19,355</v>
      </c>
      <c r="AJ29" s="8"/>
      <c r="AK29" s="263" t="str">
        <f>TEXT("20,030", "0,0")</f>
        <v>20,030</v>
      </c>
      <c r="AL29" s="263" t="s">
        <v>188</v>
      </c>
      <c r="AM29" s="263" t="str">
        <f>TEXT("21,104", "0,0")</f>
        <v>21,104</v>
      </c>
      <c r="AN29" s="263" t="str">
        <f>TEXT("19,153", "0,0")</f>
        <v>19,153</v>
      </c>
      <c r="AO29" s="8"/>
      <c r="AP29" s="263" t="s">
        <v>188</v>
      </c>
      <c r="AQ29" s="263" t="s">
        <v>188</v>
      </c>
      <c r="AR29" s="263" t="s">
        <v>188</v>
      </c>
      <c r="AS29" s="263" t="s">
        <v>188</v>
      </c>
      <c r="AT29" s="8"/>
      <c r="AU29" s="263" t="s">
        <v>188</v>
      </c>
      <c r="AV29" s="263" t="s">
        <v>188</v>
      </c>
      <c r="AW29" s="263" t="s">
        <v>188</v>
      </c>
      <c r="AX29" s="263" t="s">
        <v>188</v>
      </c>
      <c r="AY29" s="8"/>
      <c r="AZ29" s="263" t="s">
        <v>188</v>
      </c>
      <c r="BA29" s="263" t="s">
        <v>188</v>
      </c>
      <c r="BB29" s="263" t="s">
        <v>188</v>
      </c>
      <c r="BC29" s="263" t="s">
        <v>188</v>
      </c>
      <c r="BD29" s="8"/>
    </row>
    <row r="30" spans="1:56" s="18" customFormat="1" x14ac:dyDescent="0.3">
      <c r="A30" s="163" t="s">
        <v>22</v>
      </c>
      <c r="B30" s="263" t="str">
        <f>TEXT("28,877", "0,0")</f>
        <v>28,877</v>
      </c>
      <c r="C30" s="263" t="s">
        <v>188</v>
      </c>
      <c r="D30" s="263" t="str">
        <f>TEXT("28,067", "0,0")</f>
        <v>28,067</v>
      </c>
      <c r="E30" s="263" t="str">
        <f>TEXT("24,998", "0,0")</f>
        <v>24,998</v>
      </c>
      <c r="F30" s="34"/>
      <c r="G30" s="263" t="str">
        <f>TEXT("10,674", "0,0")</f>
        <v>10,674</v>
      </c>
      <c r="H30" s="263" t="s">
        <v>188</v>
      </c>
      <c r="I30" s="263" t="str">
        <f>TEXT("10,704", "0,0")</f>
        <v>10,704</v>
      </c>
      <c r="J30" s="263" t="str">
        <f>TEXT("10,964", "0,0")</f>
        <v>10,964</v>
      </c>
      <c r="K30" s="34"/>
      <c r="L30" s="263" t="str">
        <f>TEXT("30,527", "0,0")</f>
        <v>30,527</v>
      </c>
      <c r="M30" s="263" t="s">
        <v>188</v>
      </c>
      <c r="N30" s="263" t="str">
        <f>TEXT("29,991", "0,0")</f>
        <v>29,991</v>
      </c>
      <c r="O30" s="263" t="str">
        <f>TEXT("24,834", "0,0")</f>
        <v>24,834</v>
      </c>
      <c r="P30" s="34"/>
      <c r="Q30" s="263" t="str">
        <f>TEXT("29,098", "0,0")</f>
        <v>29,098</v>
      </c>
      <c r="R30" s="263" t="s">
        <v>188</v>
      </c>
      <c r="S30" s="263" t="str">
        <f>TEXT("31,491", "0,0")</f>
        <v>31,491</v>
      </c>
      <c r="T30" s="263" t="str">
        <f>TEXT("25,964", "0,0")</f>
        <v>25,964</v>
      </c>
      <c r="U30" s="34"/>
      <c r="V30" s="263" t="str">
        <f>TEXT("22,682", "0,0")</f>
        <v>22,682</v>
      </c>
      <c r="W30" s="263" t="s">
        <v>188</v>
      </c>
      <c r="X30" s="263" t="str">
        <f>TEXT("28,171", "0,0")</f>
        <v>28,171</v>
      </c>
      <c r="Y30" s="263" t="str">
        <f>TEXT("23,620", "0,0")</f>
        <v>23,620</v>
      </c>
      <c r="Z30" s="34"/>
      <c r="AA30" s="263" t="str">
        <f>TEXT("24,611", "0,0")</f>
        <v>24,611</v>
      </c>
      <c r="AB30" s="263" t="s">
        <v>188</v>
      </c>
      <c r="AC30" s="263" t="str">
        <f>TEXT("23,970", "0,0")</f>
        <v>23,970</v>
      </c>
      <c r="AD30" s="263" t="str">
        <f>TEXT("21,211", "0,0")</f>
        <v>21,211</v>
      </c>
      <c r="AE30" s="34"/>
      <c r="AF30" s="263" t="str">
        <f>TEXT("25,650", "0,0")</f>
        <v>25,650</v>
      </c>
      <c r="AG30" s="263" t="s">
        <v>188</v>
      </c>
      <c r="AH30" s="263" t="str">
        <f>TEXT("35,568", "0,0")</f>
        <v>35,568</v>
      </c>
      <c r="AI30" s="263" t="str">
        <f>TEXT("25,203", "0,0")</f>
        <v>25,203</v>
      </c>
      <c r="AJ30" s="34"/>
      <c r="AK30" s="263" t="str">
        <f>TEXT("21,847", "0,0")</f>
        <v>21,847</v>
      </c>
      <c r="AL30" s="263" t="s">
        <v>188</v>
      </c>
      <c r="AM30" s="263" t="str">
        <f>TEXT("23,207", "0,0")</f>
        <v>23,207</v>
      </c>
      <c r="AN30" s="263" t="str">
        <f>TEXT("20,509", "0,0")</f>
        <v>20,509</v>
      </c>
      <c r="AO30" s="34"/>
      <c r="AP30" s="263" t="str">
        <f>TEXT("18,574", "0,0")</f>
        <v>18,574</v>
      </c>
      <c r="AQ30" s="263" t="s">
        <v>188</v>
      </c>
      <c r="AR30" s="263" t="str">
        <f>TEXT("20,945", "0,0")</f>
        <v>20,945</v>
      </c>
      <c r="AS30" s="263" t="str">
        <f>TEXT("18,018", "0,0")</f>
        <v>18,018</v>
      </c>
      <c r="AT30" s="34"/>
      <c r="AU30" s="263" t="str">
        <f>TEXT("14,853", "0,0")</f>
        <v>14,853</v>
      </c>
      <c r="AV30" s="263" t="s">
        <v>188</v>
      </c>
      <c r="AW30" s="263" t="str">
        <f>TEXT("18,841", "0,0")</f>
        <v>18,841</v>
      </c>
      <c r="AX30" s="263" t="str">
        <f>TEXT("16,958", "0,0")</f>
        <v>16,958</v>
      </c>
      <c r="AY30" s="34"/>
      <c r="AZ30" s="263" t="str">
        <f>TEXT("10,176", "0,0")</f>
        <v>10,176</v>
      </c>
      <c r="BA30" s="263" t="s">
        <v>188</v>
      </c>
      <c r="BB30" s="263" t="str">
        <f>TEXT("10,236", "0,0")</f>
        <v>10,236</v>
      </c>
      <c r="BC30" s="263" t="str">
        <f>TEXT("9,959", "0,0")</f>
        <v>9,959</v>
      </c>
      <c r="BD30" s="34"/>
    </row>
    <row r="31" spans="1:56" s="18" customFormat="1" x14ac:dyDescent="0.3">
      <c r="A31" s="163" t="s">
        <v>23</v>
      </c>
      <c r="B31" s="263" t="s">
        <v>188</v>
      </c>
      <c r="C31" s="263" t="str">
        <f>TEXT("18,396", "0,0")</f>
        <v>18,396</v>
      </c>
      <c r="D31" s="263" t="str">
        <f>TEXT("18,465", "0,0")</f>
        <v>18,465</v>
      </c>
      <c r="E31" s="263" t="str">
        <f>TEXT("17,815", "0,0")</f>
        <v>17,815</v>
      </c>
      <c r="F31" s="34"/>
      <c r="G31" s="263" t="s">
        <v>188</v>
      </c>
      <c r="H31" s="263" t="str">
        <f>TEXT("10,687", "0,0")</f>
        <v>10,687</v>
      </c>
      <c r="I31" s="263" t="str">
        <f>TEXT("10,704", "0,0")</f>
        <v>10,704</v>
      </c>
      <c r="J31" s="263" t="str">
        <f>TEXT("10,964", "0,0")</f>
        <v>10,964</v>
      </c>
      <c r="K31" s="34"/>
      <c r="L31" s="263" t="s">
        <v>188</v>
      </c>
      <c r="M31" s="263" t="str">
        <f>TEXT("19,824", "0,0")</f>
        <v>19,824</v>
      </c>
      <c r="N31" s="263" t="str">
        <f>TEXT("19,967", "0,0")</f>
        <v>19,967</v>
      </c>
      <c r="O31" s="263" t="str">
        <f>TEXT("17,815", "0,0")</f>
        <v>17,815</v>
      </c>
      <c r="P31" s="34"/>
      <c r="Q31" s="263" t="s">
        <v>188</v>
      </c>
      <c r="R31" s="263" t="str">
        <f>TEXT("20,115", "0,0")</f>
        <v>20,115</v>
      </c>
      <c r="S31" s="263" t="str">
        <f>TEXT("20,416", "0,0")</f>
        <v>20,416</v>
      </c>
      <c r="T31" s="263" t="str">
        <f>TEXT("17,877", "0,0")</f>
        <v>17,877</v>
      </c>
      <c r="U31" s="34"/>
      <c r="V31" s="263" t="s">
        <v>188</v>
      </c>
      <c r="W31" s="263" t="str">
        <f>TEXT("19,631", "0,0")</f>
        <v>19,631</v>
      </c>
      <c r="X31" s="263" t="str">
        <f>TEXT("19,937", "0,0")</f>
        <v>19,937</v>
      </c>
      <c r="Y31" s="263" t="str">
        <f>TEXT("17,877", "0,0")</f>
        <v>17,877</v>
      </c>
      <c r="Z31" s="34"/>
      <c r="AA31" s="263" t="s">
        <v>188</v>
      </c>
      <c r="AB31" s="263" t="str">
        <f>TEXT("19,412", "0,0")</f>
        <v>19,412</v>
      </c>
      <c r="AC31" s="263" t="str">
        <f>TEXT("18,954", "0,0")</f>
        <v>18,954</v>
      </c>
      <c r="AD31" s="263" t="str">
        <f>TEXT("17,815", "0,0")</f>
        <v>17,815</v>
      </c>
      <c r="AE31" s="34"/>
      <c r="AF31" s="263" t="s">
        <v>188</v>
      </c>
      <c r="AG31" s="263" t="str">
        <f>TEXT("19,697", "0,0")</f>
        <v>19,697</v>
      </c>
      <c r="AH31" s="263" t="str">
        <f>TEXT("21,390", "0,0")</f>
        <v>21,390</v>
      </c>
      <c r="AI31" s="263" t="str">
        <f>TEXT("17,877", "0,0")</f>
        <v>17,877</v>
      </c>
      <c r="AJ31" s="34"/>
      <c r="AK31" s="263" t="s">
        <v>188</v>
      </c>
      <c r="AL31" s="263" t="str">
        <f>TEXT("19,439", "0,0")</f>
        <v>19,439</v>
      </c>
      <c r="AM31" s="263" t="str">
        <f>TEXT("19,310", "0,0")</f>
        <v>19,310</v>
      </c>
      <c r="AN31" s="263" t="str">
        <f>TEXT("17,815", "0,0")</f>
        <v>17,815</v>
      </c>
      <c r="AO31" s="34"/>
      <c r="AP31" s="263" t="s">
        <v>188</v>
      </c>
      <c r="AQ31" s="263" t="str">
        <f>TEXT("19,568", "0,0")</f>
        <v>19,568</v>
      </c>
      <c r="AR31" s="263" t="str">
        <f>TEXT("20,877", "0,0")</f>
        <v>20,877</v>
      </c>
      <c r="AS31" s="263" t="str">
        <f>TEXT("17,877", "0,0")</f>
        <v>17,877</v>
      </c>
      <c r="AT31" s="34"/>
      <c r="AU31" s="263" t="s">
        <v>188</v>
      </c>
      <c r="AV31" s="263" t="str">
        <f>TEXT("15,884", "0,0")</f>
        <v>15,884</v>
      </c>
      <c r="AW31" s="263" t="str">
        <f>TEXT("18,841", "0,0")</f>
        <v>18,841</v>
      </c>
      <c r="AX31" s="263" t="str">
        <f>TEXT("16,958", "0,0")</f>
        <v>16,958</v>
      </c>
      <c r="AY31" s="34"/>
      <c r="AZ31" s="263" t="s">
        <v>188</v>
      </c>
      <c r="BA31" s="263" t="str">
        <f>TEXT("10,229", "0,0")</f>
        <v>10,229</v>
      </c>
      <c r="BB31" s="263" t="str">
        <f>TEXT("10,236", "0,0")</f>
        <v>10,236</v>
      </c>
      <c r="BC31" s="263" t="str">
        <f>TEXT("9,959", "0,0")</f>
        <v>9,959</v>
      </c>
      <c r="BD31" s="34"/>
    </row>
    <row r="32" spans="1:56" s="18" customFormat="1" x14ac:dyDescent="0.3">
      <c r="A32" s="163"/>
      <c r="B32" s="369"/>
      <c r="C32" s="369"/>
      <c r="D32" s="369"/>
      <c r="E32" s="369"/>
      <c r="F32" s="24"/>
      <c r="G32" s="102"/>
      <c r="H32" s="102"/>
      <c r="I32" s="102"/>
      <c r="J32" s="102"/>
      <c r="K32" s="24"/>
      <c r="L32" s="369"/>
      <c r="M32" s="369"/>
      <c r="N32" s="369"/>
      <c r="O32" s="369"/>
      <c r="P32" s="24"/>
      <c r="Q32" s="369"/>
      <c r="R32" s="369"/>
      <c r="S32" s="369"/>
      <c r="T32" s="369"/>
      <c r="U32" s="24"/>
      <c r="V32" s="369"/>
      <c r="W32" s="369"/>
      <c r="X32" s="369"/>
      <c r="Y32" s="369"/>
      <c r="Z32" s="24"/>
      <c r="AA32" s="369"/>
      <c r="AB32" s="369"/>
      <c r="AC32" s="369"/>
      <c r="AD32" s="369"/>
      <c r="AE32" s="24"/>
      <c r="AF32" s="369"/>
      <c r="AG32" s="369"/>
      <c r="AH32" s="369"/>
      <c r="AI32" s="369"/>
      <c r="AJ32" s="24"/>
      <c r="AK32" s="369"/>
      <c r="AL32" s="369"/>
      <c r="AM32" s="369"/>
      <c r="AN32" s="369"/>
      <c r="AO32" s="24"/>
      <c r="AP32" s="369"/>
      <c r="AQ32" s="369"/>
      <c r="AR32" s="369"/>
      <c r="AS32" s="369"/>
      <c r="AT32" s="24"/>
      <c r="AU32" s="369"/>
      <c r="AV32" s="369"/>
      <c r="AW32" s="369"/>
      <c r="AX32" s="369"/>
      <c r="AY32" s="24"/>
      <c r="AZ32" s="369"/>
      <c r="BA32" s="369"/>
      <c r="BB32" s="369"/>
      <c r="BC32" s="416"/>
      <c r="BD32" s="24"/>
    </row>
    <row r="33" spans="1:82" s="146" customFormat="1" ht="41.25" customHeight="1" x14ac:dyDescent="0.3">
      <c r="A33" s="264" t="s">
        <v>359</v>
      </c>
      <c r="B33" s="335" t="s">
        <v>12</v>
      </c>
      <c r="C33" s="335"/>
      <c r="D33" s="28" t="s">
        <v>201</v>
      </c>
      <c r="E33" s="28" t="s">
        <v>10</v>
      </c>
      <c r="F33" s="24"/>
      <c r="G33" s="412" t="s">
        <v>360</v>
      </c>
      <c r="H33" s="412"/>
      <c r="I33" s="168" t="s">
        <v>201</v>
      </c>
      <c r="J33" s="168" t="s">
        <v>10</v>
      </c>
      <c r="K33" s="24"/>
      <c r="L33" s="412" t="s">
        <v>12</v>
      </c>
      <c r="M33" s="412"/>
      <c r="N33" s="168" t="s">
        <v>201</v>
      </c>
      <c r="O33" s="168" t="s">
        <v>10</v>
      </c>
      <c r="P33" s="24"/>
      <c r="Q33" s="412" t="s">
        <v>12</v>
      </c>
      <c r="R33" s="412"/>
      <c r="S33" s="168" t="s">
        <v>201</v>
      </c>
      <c r="T33" s="168" t="s">
        <v>10</v>
      </c>
      <c r="U33" s="24"/>
      <c r="V33" s="412" t="s">
        <v>12</v>
      </c>
      <c r="W33" s="412"/>
      <c r="X33" s="168" t="s">
        <v>201</v>
      </c>
      <c r="Y33" s="168" t="s">
        <v>10</v>
      </c>
      <c r="Z33" s="24"/>
      <c r="AA33" s="412" t="s">
        <v>12</v>
      </c>
      <c r="AB33" s="412"/>
      <c r="AC33" s="168" t="s">
        <v>201</v>
      </c>
      <c r="AD33" s="168" t="s">
        <v>10</v>
      </c>
      <c r="AE33" s="24"/>
      <c r="AF33" s="412" t="s">
        <v>12</v>
      </c>
      <c r="AG33" s="412"/>
      <c r="AH33" s="168" t="s">
        <v>201</v>
      </c>
      <c r="AI33" s="168" t="s">
        <v>10</v>
      </c>
      <c r="AJ33" s="24"/>
      <c r="AK33" s="412" t="s">
        <v>12</v>
      </c>
      <c r="AL33" s="412"/>
      <c r="AM33" s="168" t="s">
        <v>201</v>
      </c>
      <c r="AN33" s="168" t="s">
        <v>10</v>
      </c>
      <c r="AO33" s="24"/>
      <c r="AP33" s="412" t="s">
        <v>360</v>
      </c>
      <c r="AQ33" s="412"/>
      <c r="AR33" s="168" t="s">
        <v>201</v>
      </c>
      <c r="AS33" s="168" t="s">
        <v>10</v>
      </c>
      <c r="AT33" s="24"/>
      <c r="AU33" s="412" t="s">
        <v>12</v>
      </c>
      <c r="AV33" s="412"/>
      <c r="AW33" s="168" t="s">
        <v>201</v>
      </c>
      <c r="AX33" s="168" t="s">
        <v>10</v>
      </c>
      <c r="AY33" s="24"/>
      <c r="AZ33" s="412" t="s">
        <v>12</v>
      </c>
      <c r="BA33" s="412"/>
      <c r="BB33" s="168" t="s">
        <v>201</v>
      </c>
      <c r="BC33" s="168" t="s">
        <v>10</v>
      </c>
      <c r="BD33" s="24"/>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row>
    <row r="34" spans="1:82" s="18" customFormat="1" ht="26.25" customHeight="1" x14ac:dyDescent="0.3">
      <c r="A34" s="419"/>
      <c r="B34" s="417" t="s">
        <v>361</v>
      </c>
      <c r="C34" s="418" t="s">
        <v>361</v>
      </c>
      <c r="D34" s="216" t="s">
        <v>362</v>
      </c>
      <c r="E34" s="217">
        <v>7.0888865100000004E-2</v>
      </c>
      <c r="F34" s="24"/>
      <c r="G34" s="417" t="s">
        <v>363</v>
      </c>
      <c r="H34" s="418" t="s">
        <v>364</v>
      </c>
      <c r="I34" s="216" t="s">
        <v>188</v>
      </c>
      <c r="J34" s="217">
        <v>1</v>
      </c>
      <c r="K34" s="24"/>
      <c r="L34" s="417" t="s">
        <v>265</v>
      </c>
      <c r="M34" s="418" t="s">
        <v>265</v>
      </c>
      <c r="N34" s="216" t="s">
        <v>266</v>
      </c>
      <c r="O34" s="217">
        <v>6.1138834900000001E-2</v>
      </c>
      <c r="P34" s="24"/>
      <c r="Q34" s="417" t="s">
        <v>271</v>
      </c>
      <c r="R34" s="418" t="s">
        <v>271</v>
      </c>
      <c r="S34" s="216" t="s">
        <v>266</v>
      </c>
      <c r="T34" s="217">
        <v>6.8965664300000007E-2</v>
      </c>
      <c r="U34" s="24"/>
      <c r="V34" s="417" t="s">
        <v>267</v>
      </c>
      <c r="W34" s="418" t="s">
        <v>267</v>
      </c>
      <c r="X34" s="217" t="s">
        <v>268</v>
      </c>
      <c r="Y34" s="217">
        <v>0.41056419150000001</v>
      </c>
      <c r="Z34" s="24"/>
      <c r="AA34" s="417" t="s">
        <v>361</v>
      </c>
      <c r="AB34" s="418" t="s">
        <v>361</v>
      </c>
      <c r="AC34" s="217" t="s">
        <v>362</v>
      </c>
      <c r="AD34" s="217">
        <v>6.4155445800000002E-2</v>
      </c>
      <c r="AE34" s="24"/>
      <c r="AF34" s="417" t="s">
        <v>275</v>
      </c>
      <c r="AG34" s="418" t="s">
        <v>275</v>
      </c>
      <c r="AH34" s="217" t="s">
        <v>266</v>
      </c>
      <c r="AI34" s="217">
        <v>4.4717976E-2</v>
      </c>
      <c r="AJ34" s="24"/>
      <c r="AK34" s="417" t="s">
        <v>365</v>
      </c>
      <c r="AL34" s="418" t="s">
        <v>365</v>
      </c>
      <c r="AM34" s="217" t="s">
        <v>266</v>
      </c>
      <c r="AN34" s="217">
        <v>5.8928611800000003E-2</v>
      </c>
      <c r="AO34" s="24"/>
      <c r="AP34" s="417" t="s">
        <v>281</v>
      </c>
      <c r="AQ34" s="418" t="s">
        <v>281</v>
      </c>
      <c r="AR34" s="217" t="s">
        <v>268</v>
      </c>
      <c r="AS34" s="217">
        <v>0.1050034842</v>
      </c>
      <c r="AT34" s="24"/>
      <c r="AU34" s="417" t="s">
        <v>366</v>
      </c>
      <c r="AV34" s="418" t="s">
        <v>366</v>
      </c>
      <c r="AW34" s="217" t="s">
        <v>268</v>
      </c>
      <c r="AX34" s="217">
        <v>0.1123657888</v>
      </c>
      <c r="AY34" s="24"/>
      <c r="AZ34" s="417" t="s">
        <v>281</v>
      </c>
      <c r="BA34" s="418" t="s">
        <v>281</v>
      </c>
      <c r="BB34" s="217" t="s">
        <v>268</v>
      </c>
      <c r="BC34" s="217">
        <v>6.3642880099999993E-2</v>
      </c>
      <c r="BD34" s="24"/>
    </row>
    <row r="35" spans="1:82" s="18" customFormat="1" ht="26.25" customHeight="1" x14ac:dyDescent="0.3">
      <c r="A35" s="419"/>
      <c r="B35" s="417" t="s">
        <v>367</v>
      </c>
      <c r="C35" s="418" t="s">
        <v>367</v>
      </c>
      <c r="D35" s="216" t="s">
        <v>268</v>
      </c>
      <c r="E35" s="217">
        <v>6.5935434500000001E-2</v>
      </c>
      <c r="F35" s="24"/>
      <c r="G35" s="420"/>
      <c r="H35" s="421"/>
      <c r="I35" s="216"/>
      <c r="J35" s="217"/>
      <c r="K35" s="24"/>
      <c r="L35" s="417" t="s">
        <v>291</v>
      </c>
      <c r="M35" s="418" t="s">
        <v>291</v>
      </c>
      <c r="N35" s="216" t="s">
        <v>368</v>
      </c>
      <c r="O35" s="217">
        <v>4.5464628200000003E-2</v>
      </c>
      <c r="P35" s="24"/>
      <c r="Q35" s="417" t="s">
        <v>267</v>
      </c>
      <c r="R35" s="418" t="s">
        <v>267</v>
      </c>
      <c r="S35" s="216" t="s">
        <v>268</v>
      </c>
      <c r="T35" s="217">
        <v>6.7577889899999993E-2</v>
      </c>
      <c r="U35" s="24"/>
      <c r="V35" s="417" t="s">
        <v>281</v>
      </c>
      <c r="W35" s="418" t="s">
        <v>281</v>
      </c>
      <c r="X35" s="217" t="s">
        <v>268</v>
      </c>
      <c r="Y35" s="217">
        <v>0.2484877697</v>
      </c>
      <c r="Z35" s="24"/>
      <c r="AA35" s="417" t="s">
        <v>369</v>
      </c>
      <c r="AB35" s="418" t="s">
        <v>369</v>
      </c>
      <c r="AC35" s="217" t="s">
        <v>368</v>
      </c>
      <c r="AD35" s="217">
        <v>5.7066180799999998E-2</v>
      </c>
      <c r="AE35" s="24"/>
      <c r="AF35" s="417" t="s">
        <v>271</v>
      </c>
      <c r="AG35" s="418" t="s">
        <v>271</v>
      </c>
      <c r="AH35" s="217" t="s">
        <v>266</v>
      </c>
      <c r="AI35" s="217">
        <v>4.4003757999999997E-2</v>
      </c>
      <c r="AJ35" s="24"/>
      <c r="AK35" s="417" t="s">
        <v>370</v>
      </c>
      <c r="AL35" s="418" t="s">
        <v>370</v>
      </c>
      <c r="AM35" s="217" t="s">
        <v>266</v>
      </c>
      <c r="AN35" s="217">
        <v>5.8668242400000001E-2</v>
      </c>
      <c r="AO35" s="24"/>
      <c r="AP35" s="417" t="s">
        <v>371</v>
      </c>
      <c r="AQ35" s="418" t="s">
        <v>371</v>
      </c>
      <c r="AR35" s="217" t="s">
        <v>266</v>
      </c>
      <c r="AS35" s="217">
        <v>7.7326302799999996E-2</v>
      </c>
      <c r="AT35" s="24"/>
      <c r="AU35" s="417" t="s">
        <v>372</v>
      </c>
      <c r="AV35" s="418" t="s">
        <v>372</v>
      </c>
      <c r="AW35" s="217" t="s">
        <v>266</v>
      </c>
      <c r="AX35" s="217">
        <v>7.89272102E-2</v>
      </c>
      <c r="AY35" s="24"/>
      <c r="AZ35" s="417" t="s">
        <v>373</v>
      </c>
      <c r="BA35" s="418" t="s">
        <v>373</v>
      </c>
      <c r="BB35" s="217" t="s">
        <v>266</v>
      </c>
      <c r="BC35" s="217">
        <v>6.0236775399999998E-2</v>
      </c>
      <c r="BD35" s="24"/>
    </row>
    <row r="36" spans="1:82" s="18" customFormat="1" ht="26.25" customHeight="1" x14ac:dyDescent="0.3">
      <c r="A36" s="419"/>
      <c r="B36" s="417" t="s">
        <v>275</v>
      </c>
      <c r="C36" s="418" t="s">
        <v>275</v>
      </c>
      <c r="D36" s="216" t="s">
        <v>362</v>
      </c>
      <c r="E36" s="217">
        <v>5.1543913400000002E-2</v>
      </c>
      <c r="F36" s="24"/>
      <c r="G36" s="420"/>
      <c r="H36" s="421"/>
      <c r="I36" s="216"/>
      <c r="J36" s="217"/>
      <c r="K36" s="24"/>
      <c r="L36" s="417" t="s">
        <v>374</v>
      </c>
      <c r="M36" s="418" t="s">
        <v>374</v>
      </c>
      <c r="N36" s="216" t="s">
        <v>266</v>
      </c>
      <c r="O36" s="217">
        <v>3.8183091099999997E-2</v>
      </c>
      <c r="P36" s="24"/>
      <c r="Q36" s="417" t="s">
        <v>366</v>
      </c>
      <c r="R36" s="418" t="s">
        <v>366</v>
      </c>
      <c r="S36" s="216" t="s">
        <v>268</v>
      </c>
      <c r="T36" s="217">
        <v>5.97425153E-2</v>
      </c>
      <c r="U36" s="24"/>
      <c r="V36" s="417" t="s">
        <v>375</v>
      </c>
      <c r="W36" s="418" t="s">
        <v>375</v>
      </c>
      <c r="X36" s="217" t="s">
        <v>268</v>
      </c>
      <c r="Y36" s="217">
        <v>8.2299815400000004E-2</v>
      </c>
      <c r="Z36" s="24"/>
      <c r="AA36" s="417" t="s">
        <v>367</v>
      </c>
      <c r="AB36" s="418" t="s">
        <v>367</v>
      </c>
      <c r="AC36" s="217" t="s">
        <v>268</v>
      </c>
      <c r="AD36" s="217">
        <v>5.2868899300000001E-2</v>
      </c>
      <c r="AE36" s="24"/>
      <c r="AF36" s="417" t="s">
        <v>366</v>
      </c>
      <c r="AG36" s="418" t="s">
        <v>366</v>
      </c>
      <c r="AH36" s="217" t="s">
        <v>268</v>
      </c>
      <c r="AI36" s="217">
        <v>4.8469511700000002E-2</v>
      </c>
      <c r="AJ36" s="24"/>
      <c r="AK36" s="417" t="s">
        <v>376</v>
      </c>
      <c r="AL36" s="418" t="s">
        <v>376</v>
      </c>
      <c r="AM36" s="217" t="s">
        <v>362</v>
      </c>
      <c r="AN36" s="217">
        <v>5.1499396699999998E-2</v>
      </c>
      <c r="AO36" s="24"/>
      <c r="AP36" s="417" t="s">
        <v>271</v>
      </c>
      <c r="AQ36" s="418" t="s">
        <v>271</v>
      </c>
      <c r="AR36" s="217" t="s">
        <v>266</v>
      </c>
      <c r="AS36" s="217">
        <v>7.5511991400000006E-2</v>
      </c>
      <c r="AT36" s="24"/>
      <c r="AU36" s="417" t="s">
        <v>371</v>
      </c>
      <c r="AV36" s="418" t="s">
        <v>371</v>
      </c>
      <c r="AW36" s="217" t="s">
        <v>266</v>
      </c>
      <c r="AX36" s="217">
        <v>7.8579778700000005E-2</v>
      </c>
      <c r="AY36" s="24"/>
      <c r="AZ36" s="417" t="s">
        <v>267</v>
      </c>
      <c r="BA36" s="418" t="s">
        <v>267</v>
      </c>
      <c r="BB36" s="217" t="s">
        <v>268</v>
      </c>
      <c r="BC36" s="217">
        <v>5.3771941400000002E-2</v>
      </c>
      <c r="BD36" s="24"/>
    </row>
    <row r="37" spans="1:82" s="18" customFormat="1" ht="26.25" customHeight="1" x14ac:dyDescent="0.3">
      <c r="A37" s="419"/>
      <c r="B37" s="417" t="s">
        <v>377</v>
      </c>
      <c r="C37" s="418" t="s">
        <v>377</v>
      </c>
      <c r="D37" s="216" t="s">
        <v>268</v>
      </c>
      <c r="E37" s="217">
        <v>3.8604775199999997E-2</v>
      </c>
      <c r="F37" s="24"/>
      <c r="G37" s="420"/>
      <c r="H37" s="421"/>
      <c r="I37" s="216"/>
      <c r="J37" s="217"/>
      <c r="K37" s="24"/>
      <c r="L37" s="417" t="s">
        <v>378</v>
      </c>
      <c r="M37" s="418" t="s">
        <v>378</v>
      </c>
      <c r="N37" s="216" t="s">
        <v>362</v>
      </c>
      <c r="O37" s="217">
        <v>3.7842603500000002E-2</v>
      </c>
      <c r="P37" s="24"/>
      <c r="Q37" s="417" t="s">
        <v>365</v>
      </c>
      <c r="R37" s="418" t="s">
        <v>365</v>
      </c>
      <c r="S37" s="216" t="s">
        <v>266</v>
      </c>
      <c r="T37" s="217">
        <v>5.0587087000000003E-2</v>
      </c>
      <c r="U37" s="24"/>
      <c r="V37" s="417"/>
      <c r="W37" s="418"/>
      <c r="X37" s="217"/>
      <c r="Y37" s="217"/>
      <c r="Z37" s="24"/>
      <c r="AA37" s="417" t="s">
        <v>271</v>
      </c>
      <c r="AB37" s="418" t="s">
        <v>271</v>
      </c>
      <c r="AC37" s="217" t="s">
        <v>368</v>
      </c>
      <c r="AD37" s="217">
        <v>4.5861941000000003E-2</v>
      </c>
      <c r="AE37" s="24"/>
      <c r="AF37" s="417" t="s">
        <v>281</v>
      </c>
      <c r="AG37" s="418" t="s">
        <v>281</v>
      </c>
      <c r="AH37" s="217" t="s">
        <v>268</v>
      </c>
      <c r="AI37" s="217">
        <v>4.2947543999999997E-2</v>
      </c>
      <c r="AJ37" s="24"/>
      <c r="AK37" s="417" t="s">
        <v>371</v>
      </c>
      <c r="AL37" s="418" t="s">
        <v>371</v>
      </c>
      <c r="AM37" s="217" t="s">
        <v>266</v>
      </c>
      <c r="AN37" s="217">
        <v>4.7286811900000003E-2</v>
      </c>
      <c r="AO37" s="24"/>
      <c r="AP37" s="417" t="s">
        <v>379</v>
      </c>
      <c r="AQ37" s="418" t="s">
        <v>379</v>
      </c>
      <c r="AR37" s="217" t="s">
        <v>266</v>
      </c>
      <c r="AS37" s="217">
        <v>6.7809380599999997E-2</v>
      </c>
      <c r="AT37" s="24"/>
      <c r="AU37" s="417" t="s">
        <v>380</v>
      </c>
      <c r="AV37" s="418" t="s">
        <v>380</v>
      </c>
      <c r="AW37" s="217" t="s">
        <v>268</v>
      </c>
      <c r="AX37" s="217">
        <v>6.3952320399999998E-2</v>
      </c>
      <c r="AY37" s="24"/>
      <c r="AZ37" s="417" t="s">
        <v>366</v>
      </c>
      <c r="BA37" s="418" t="s">
        <v>366</v>
      </c>
      <c r="BB37" s="217" t="s">
        <v>268</v>
      </c>
      <c r="BC37" s="217">
        <v>5.3671155300000002E-2</v>
      </c>
      <c r="BD37" s="24"/>
    </row>
    <row r="38" spans="1:82" s="18" customFormat="1" ht="26.25" customHeight="1" x14ac:dyDescent="0.3">
      <c r="A38" s="419"/>
      <c r="B38" s="417" t="s">
        <v>381</v>
      </c>
      <c r="C38" s="418" t="s">
        <v>381</v>
      </c>
      <c r="D38" s="216" t="s">
        <v>268</v>
      </c>
      <c r="E38" s="217">
        <v>3.8574652600000002E-2</v>
      </c>
      <c r="F38" s="24"/>
      <c r="G38" s="420"/>
      <c r="H38" s="421"/>
      <c r="I38" s="216"/>
      <c r="J38" s="217"/>
      <c r="K38" s="24"/>
      <c r="L38" s="417" t="s">
        <v>382</v>
      </c>
      <c r="M38" s="418" t="s">
        <v>382</v>
      </c>
      <c r="N38" s="216" t="s">
        <v>266</v>
      </c>
      <c r="O38" s="217">
        <v>3.65300244E-2</v>
      </c>
      <c r="P38" s="24"/>
      <c r="Q38" s="417" t="s">
        <v>275</v>
      </c>
      <c r="R38" s="418" t="s">
        <v>275</v>
      </c>
      <c r="S38" s="216" t="s">
        <v>266</v>
      </c>
      <c r="T38" s="217">
        <v>5.0014534800000003E-2</v>
      </c>
      <c r="U38" s="24"/>
      <c r="V38" s="417"/>
      <c r="W38" s="418"/>
      <c r="X38" s="217"/>
      <c r="Y38" s="217"/>
      <c r="Z38" s="24"/>
      <c r="AA38" s="417" t="s">
        <v>383</v>
      </c>
      <c r="AB38" s="418" t="s">
        <v>383</v>
      </c>
      <c r="AC38" s="217" t="s">
        <v>362</v>
      </c>
      <c r="AD38" s="217">
        <v>4.58477142E-2</v>
      </c>
      <c r="AE38" s="24"/>
      <c r="AF38" s="417" t="s">
        <v>265</v>
      </c>
      <c r="AG38" s="418" t="s">
        <v>265</v>
      </c>
      <c r="AH38" s="217" t="s">
        <v>266</v>
      </c>
      <c r="AI38" s="217">
        <v>4.2770046499999999E-2</v>
      </c>
      <c r="AJ38" s="24"/>
      <c r="AK38" s="417" t="s">
        <v>384</v>
      </c>
      <c r="AL38" s="418" t="s">
        <v>384</v>
      </c>
      <c r="AM38" s="217" t="s">
        <v>362</v>
      </c>
      <c r="AN38" s="217">
        <v>4.5831434300000001E-2</v>
      </c>
      <c r="AO38" s="24"/>
      <c r="AP38" s="417" t="s">
        <v>370</v>
      </c>
      <c r="AQ38" s="418" t="s">
        <v>370</v>
      </c>
      <c r="AR38" s="217" t="s">
        <v>266</v>
      </c>
      <c r="AS38" s="217">
        <v>6.6141428099999997E-2</v>
      </c>
      <c r="AT38" s="24"/>
      <c r="AU38" s="417" t="s">
        <v>382</v>
      </c>
      <c r="AV38" s="418" t="s">
        <v>382</v>
      </c>
      <c r="AW38" s="217" t="s">
        <v>266</v>
      </c>
      <c r="AX38" s="217">
        <v>3.8719022300000003E-2</v>
      </c>
      <c r="AY38" s="24"/>
      <c r="AZ38" s="417" t="s">
        <v>385</v>
      </c>
      <c r="BA38" s="418" t="s">
        <v>385</v>
      </c>
      <c r="BB38" s="217" t="s">
        <v>268</v>
      </c>
      <c r="BC38" s="217">
        <v>5.2419347599999999E-2</v>
      </c>
      <c r="BD38" s="24"/>
    </row>
    <row r="39" spans="1:82" s="18" customFormat="1" ht="26.25" customHeight="1" x14ac:dyDescent="0.3">
      <c r="A39" s="419"/>
      <c r="B39" s="417" t="s">
        <v>386</v>
      </c>
      <c r="C39" s="418" t="s">
        <v>386</v>
      </c>
      <c r="D39" s="216" t="s">
        <v>268</v>
      </c>
      <c r="E39" s="217">
        <v>3.84374746E-2</v>
      </c>
      <c r="F39" s="24"/>
      <c r="G39" s="420"/>
      <c r="H39" s="421"/>
      <c r="I39" s="216"/>
      <c r="J39" s="217"/>
      <c r="K39" s="24"/>
      <c r="L39" s="417" t="s">
        <v>372</v>
      </c>
      <c r="M39" s="418" t="s">
        <v>372</v>
      </c>
      <c r="N39" s="216" t="s">
        <v>266</v>
      </c>
      <c r="O39" s="217">
        <v>3.4759292999999997E-2</v>
      </c>
      <c r="P39" s="24"/>
      <c r="Q39" s="417" t="s">
        <v>280</v>
      </c>
      <c r="R39" s="418" t="s">
        <v>280</v>
      </c>
      <c r="S39" s="216" t="s">
        <v>266</v>
      </c>
      <c r="T39" s="217">
        <v>4.86366414E-2</v>
      </c>
      <c r="U39" s="24"/>
      <c r="V39" s="417"/>
      <c r="W39" s="418"/>
      <c r="X39" s="217"/>
      <c r="Y39" s="217"/>
      <c r="Z39" s="24"/>
      <c r="AA39" s="417" t="s">
        <v>387</v>
      </c>
      <c r="AB39" s="418" t="s">
        <v>387</v>
      </c>
      <c r="AC39" s="217" t="s">
        <v>362</v>
      </c>
      <c r="AD39" s="217">
        <v>4.5680893399999999E-2</v>
      </c>
      <c r="AE39" s="24"/>
      <c r="AF39" s="417" t="s">
        <v>280</v>
      </c>
      <c r="AG39" s="418" t="s">
        <v>280</v>
      </c>
      <c r="AH39" s="217" t="s">
        <v>266</v>
      </c>
      <c r="AI39" s="217">
        <v>4.2593233199999997E-2</v>
      </c>
      <c r="AJ39" s="24"/>
      <c r="AK39" s="417" t="s">
        <v>382</v>
      </c>
      <c r="AL39" s="418" t="s">
        <v>382</v>
      </c>
      <c r="AM39" s="217" t="s">
        <v>266</v>
      </c>
      <c r="AN39" s="217">
        <v>4.1547317299999997E-2</v>
      </c>
      <c r="AO39" s="24"/>
      <c r="AP39" s="417" t="s">
        <v>388</v>
      </c>
      <c r="AQ39" s="418" t="s">
        <v>388</v>
      </c>
      <c r="AR39" s="217" t="s">
        <v>266</v>
      </c>
      <c r="AS39" s="217">
        <v>6.4294203100000002E-2</v>
      </c>
      <c r="AT39" s="24"/>
      <c r="AU39" s="417" t="s">
        <v>389</v>
      </c>
      <c r="AV39" s="418" t="s">
        <v>389</v>
      </c>
      <c r="AW39" s="217" t="s">
        <v>266</v>
      </c>
      <c r="AX39" s="217">
        <v>3.8657933800000002E-2</v>
      </c>
      <c r="AY39" s="24"/>
      <c r="AZ39" s="417" t="s">
        <v>271</v>
      </c>
      <c r="BA39" s="418" t="s">
        <v>271</v>
      </c>
      <c r="BB39" s="217" t="s">
        <v>266</v>
      </c>
      <c r="BC39" s="217">
        <v>4.2797502199999997E-2</v>
      </c>
      <c r="BD39" s="24"/>
    </row>
    <row r="40" spans="1:82" s="18" customFormat="1" ht="26.25" customHeight="1" x14ac:dyDescent="0.3">
      <c r="A40" s="419"/>
      <c r="B40" s="417" t="s">
        <v>390</v>
      </c>
      <c r="C40" s="418" t="s">
        <v>390</v>
      </c>
      <c r="D40" s="216" t="s">
        <v>362</v>
      </c>
      <c r="E40" s="217">
        <v>3.6060590599999998E-2</v>
      </c>
      <c r="F40" s="24"/>
      <c r="G40" s="420"/>
      <c r="H40" s="421"/>
      <c r="I40" s="216"/>
      <c r="J40" s="217"/>
      <c r="K40" s="24"/>
      <c r="L40" s="417" t="s">
        <v>292</v>
      </c>
      <c r="M40" s="418" t="s">
        <v>292</v>
      </c>
      <c r="N40" s="216" t="s">
        <v>266</v>
      </c>
      <c r="O40" s="217">
        <v>3.1407040499999997E-2</v>
      </c>
      <c r="P40" s="24"/>
      <c r="Q40" s="417" t="s">
        <v>391</v>
      </c>
      <c r="R40" s="418" t="s">
        <v>391</v>
      </c>
      <c r="S40" s="216" t="s">
        <v>268</v>
      </c>
      <c r="T40" s="217">
        <v>4.7339801299999998E-2</v>
      </c>
      <c r="U40" s="24"/>
      <c r="V40" s="417"/>
      <c r="W40" s="418"/>
      <c r="X40" s="217"/>
      <c r="Y40" s="217"/>
      <c r="Z40" s="24"/>
      <c r="AA40" s="417" t="s">
        <v>392</v>
      </c>
      <c r="AB40" s="418" t="s">
        <v>392</v>
      </c>
      <c r="AC40" s="217" t="s">
        <v>362</v>
      </c>
      <c r="AD40" s="217">
        <v>4.5645785299999998E-2</v>
      </c>
      <c r="AE40" s="24"/>
      <c r="AF40" s="417" t="s">
        <v>389</v>
      </c>
      <c r="AG40" s="418" t="s">
        <v>389</v>
      </c>
      <c r="AH40" s="217" t="s">
        <v>266</v>
      </c>
      <c r="AI40" s="217">
        <v>4.16742747E-2</v>
      </c>
      <c r="AJ40" s="24"/>
      <c r="AK40" s="417" t="s">
        <v>393</v>
      </c>
      <c r="AL40" s="418" t="s">
        <v>393</v>
      </c>
      <c r="AM40" s="217" t="s">
        <v>268</v>
      </c>
      <c r="AN40" s="217">
        <v>3.59157664E-2</v>
      </c>
      <c r="AO40" s="24"/>
      <c r="AP40" s="417" t="s">
        <v>394</v>
      </c>
      <c r="AQ40" s="418" t="s">
        <v>394</v>
      </c>
      <c r="AR40" s="217" t="s">
        <v>266</v>
      </c>
      <c r="AS40" s="217">
        <v>6.3661507800000003E-2</v>
      </c>
      <c r="AT40" s="24"/>
      <c r="AU40" s="417" t="s">
        <v>388</v>
      </c>
      <c r="AV40" s="418" t="s">
        <v>388</v>
      </c>
      <c r="AW40" s="217" t="s">
        <v>266</v>
      </c>
      <c r="AX40" s="217">
        <v>3.8579185699999997E-2</v>
      </c>
      <c r="AY40" s="24"/>
      <c r="AZ40" s="417" t="s">
        <v>395</v>
      </c>
      <c r="BA40" s="418" t="s">
        <v>395</v>
      </c>
      <c r="BB40" s="217" t="s">
        <v>268</v>
      </c>
      <c r="BC40" s="217">
        <v>3.7093632299999998E-2</v>
      </c>
      <c r="BD40" s="24"/>
    </row>
    <row r="41" spans="1:82" s="18" customFormat="1" ht="26.25" customHeight="1" x14ac:dyDescent="0.3">
      <c r="A41" s="419"/>
      <c r="B41" s="417" t="s">
        <v>396</v>
      </c>
      <c r="C41" s="418" t="s">
        <v>396</v>
      </c>
      <c r="D41" s="216" t="s">
        <v>268</v>
      </c>
      <c r="E41" s="217">
        <v>3.3409822899999997E-2</v>
      </c>
      <c r="F41" s="24"/>
      <c r="G41" s="420"/>
      <c r="H41" s="421"/>
      <c r="I41" s="216"/>
      <c r="J41" s="217"/>
      <c r="K41" s="24"/>
      <c r="L41" s="417" t="s">
        <v>280</v>
      </c>
      <c r="M41" s="418" t="s">
        <v>280</v>
      </c>
      <c r="N41" s="216" t="s">
        <v>266</v>
      </c>
      <c r="O41" s="217">
        <v>3.1019111500000002E-2</v>
      </c>
      <c r="P41" s="24"/>
      <c r="Q41" s="417" t="s">
        <v>277</v>
      </c>
      <c r="R41" s="418" t="s">
        <v>277</v>
      </c>
      <c r="S41" s="216" t="s">
        <v>268</v>
      </c>
      <c r="T41" s="217">
        <v>3.5744372500000003E-2</v>
      </c>
      <c r="U41" s="24"/>
      <c r="V41" s="417"/>
      <c r="W41" s="418"/>
      <c r="X41" s="217"/>
      <c r="Y41" s="217"/>
      <c r="Z41" s="24"/>
      <c r="AA41" s="417" t="s">
        <v>265</v>
      </c>
      <c r="AB41" s="418" t="s">
        <v>265</v>
      </c>
      <c r="AC41" s="217" t="s">
        <v>362</v>
      </c>
      <c r="AD41" s="217">
        <v>4.5224029399999997E-2</v>
      </c>
      <c r="AE41" s="24"/>
      <c r="AF41" s="417" t="s">
        <v>372</v>
      </c>
      <c r="AG41" s="418" t="s">
        <v>372</v>
      </c>
      <c r="AH41" s="217" t="s">
        <v>266</v>
      </c>
      <c r="AI41" s="217">
        <v>4.0376720499999998E-2</v>
      </c>
      <c r="AJ41" s="24"/>
      <c r="AK41" s="417" t="s">
        <v>397</v>
      </c>
      <c r="AL41" s="418" t="s">
        <v>397</v>
      </c>
      <c r="AM41" s="217" t="s">
        <v>266</v>
      </c>
      <c r="AN41" s="217">
        <v>3.5469030899999997E-2</v>
      </c>
      <c r="AO41" s="24"/>
      <c r="AP41" s="417" t="s">
        <v>382</v>
      </c>
      <c r="AQ41" s="418" t="s">
        <v>382</v>
      </c>
      <c r="AR41" s="217" t="s">
        <v>266</v>
      </c>
      <c r="AS41" s="217">
        <v>4.8466893699999999E-2</v>
      </c>
      <c r="AT41" s="24"/>
      <c r="AU41" s="417" t="s">
        <v>267</v>
      </c>
      <c r="AV41" s="418" t="s">
        <v>267</v>
      </c>
      <c r="AW41" s="217" t="s">
        <v>268</v>
      </c>
      <c r="AX41" s="217">
        <v>3.7525598100000002E-2</v>
      </c>
      <c r="AY41" s="24"/>
      <c r="AZ41" s="417" t="s">
        <v>398</v>
      </c>
      <c r="BA41" s="418" t="s">
        <v>398</v>
      </c>
      <c r="BB41" s="217" t="s">
        <v>266</v>
      </c>
      <c r="BC41" s="217">
        <v>3.6651208800000001E-2</v>
      </c>
      <c r="BD41" s="24"/>
    </row>
    <row r="42" spans="1:82" s="18" customFormat="1" ht="26.25" customHeight="1" x14ac:dyDescent="0.3">
      <c r="A42" s="419"/>
      <c r="B42" s="417" t="s">
        <v>291</v>
      </c>
      <c r="C42" s="418" t="s">
        <v>291</v>
      </c>
      <c r="D42" s="216" t="s">
        <v>368</v>
      </c>
      <c r="E42" s="217">
        <v>3.2242984199999998E-2</v>
      </c>
      <c r="F42" s="24"/>
      <c r="G42" s="420"/>
      <c r="H42" s="421"/>
      <c r="I42" s="216"/>
      <c r="J42" s="217"/>
      <c r="K42" s="24"/>
      <c r="L42" s="417" t="s">
        <v>384</v>
      </c>
      <c r="M42" s="418" t="s">
        <v>384</v>
      </c>
      <c r="N42" s="216" t="s">
        <v>362</v>
      </c>
      <c r="O42" s="217">
        <v>2.8911778199999998E-2</v>
      </c>
      <c r="P42" s="24"/>
      <c r="Q42" s="417" t="s">
        <v>382</v>
      </c>
      <c r="R42" s="418" t="s">
        <v>382</v>
      </c>
      <c r="S42" s="216" t="s">
        <v>266</v>
      </c>
      <c r="T42" s="217">
        <v>2.62007405E-2</v>
      </c>
      <c r="U42" s="24"/>
      <c r="V42" s="417"/>
      <c r="W42" s="418"/>
      <c r="X42" s="217"/>
      <c r="Y42" s="217"/>
      <c r="Z42" s="24"/>
      <c r="AA42" s="417" t="s">
        <v>399</v>
      </c>
      <c r="AB42" s="418" t="s">
        <v>399</v>
      </c>
      <c r="AC42" s="217" t="s">
        <v>368</v>
      </c>
      <c r="AD42" s="217">
        <v>3.8861797699999999E-2</v>
      </c>
      <c r="AE42" s="24"/>
      <c r="AF42" s="417" t="s">
        <v>400</v>
      </c>
      <c r="AG42" s="418" t="s">
        <v>400</v>
      </c>
      <c r="AH42" s="217" t="s">
        <v>266</v>
      </c>
      <c r="AI42" s="217">
        <v>3.87683547E-2</v>
      </c>
      <c r="AJ42" s="24"/>
      <c r="AK42" s="417" t="s">
        <v>401</v>
      </c>
      <c r="AL42" s="418" t="s">
        <v>401</v>
      </c>
      <c r="AM42" s="217" t="s">
        <v>266</v>
      </c>
      <c r="AN42" s="217">
        <v>3.3135106300000002E-2</v>
      </c>
      <c r="AO42" s="24"/>
      <c r="AP42" s="417" t="s">
        <v>361</v>
      </c>
      <c r="AQ42" s="418" t="s">
        <v>361</v>
      </c>
      <c r="AR42" s="217" t="s">
        <v>266</v>
      </c>
      <c r="AS42" s="217">
        <v>4.5719098899999998E-2</v>
      </c>
      <c r="AT42" s="24"/>
      <c r="AU42" s="417" t="s">
        <v>402</v>
      </c>
      <c r="AV42" s="418" t="s">
        <v>402</v>
      </c>
      <c r="AW42" s="217" t="s">
        <v>266</v>
      </c>
      <c r="AX42" s="217">
        <v>3.74125919E-2</v>
      </c>
      <c r="AY42" s="24"/>
      <c r="AZ42" s="417" t="s">
        <v>382</v>
      </c>
      <c r="BA42" s="418" t="s">
        <v>382</v>
      </c>
      <c r="BB42" s="217" t="s">
        <v>266</v>
      </c>
      <c r="BC42" s="217">
        <v>3.2430241499999998E-2</v>
      </c>
      <c r="BD42" s="24"/>
    </row>
    <row r="43" spans="1:82" s="18" customFormat="1" ht="26.25" customHeight="1" x14ac:dyDescent="0.3">
      <c r="A43" s="419"/>
      <c r="B43" s="417" t="s">
        <v>403</v>
      </c>
      <c r="C43" s="418" t="s">
        <v>403</v>
      </c>
      <c r="D43" s="216" t="s">
        <v>362</v>
      </c>
      <c r="E43" s="217">
        <v>3.2136309500000002E-2</v>
      </c>
      <c r="F43" s="24"/>
      <c r="G43" s="420"/>
      <c r="H43" s="421"/>
      <c r="I43" s="216"/>
      <c r="J43" s="217"/>
      <c r="K43" s="24"/>
      <c r="L43" s="417" t="s">
        <v>404</v>
      </c>
      <c r="M43" s="418" t="s">
        <v>404</v>
      </c>
      <c r="N43" s="216" t="s">
        <v>268</v>
      </c>
      <c r="O43" s="217">
        <v>2.8756996900000002E-2</v>
      </c>
      <c r="P43" s="24"/>
      <c r="Q43" s="417" t="s">
        <v>402</v>
      </c>
      <c r="R43" s="418" t="s">
        <v>402</v>
      </c>
      <c r="S43" s="216" t="s">
        <v>266</v>
      </c>
      <c r="T43" s="217">
        <v>2.5654389600000001E-2</v>
      </c>
      <c r="U43" s="24"/>
      <c r="V43" s="417"/>
      <c r="W43" s="418"/>
      <c r="X43" s="217"/>
      <c r="Y43" s="217"/>
      <c r="Z43" s="24"/>
      <c r="AA43" s="417" t="s">
        <v>405</v>
      </c>
      <c r="AB43" s="418" t="s">
        <v>405</v>
      </c>
      <c r="AC43" s="217" t="s">
        <v>362</v>
      </c>
      <c r="AD43" s="217">
        <v>3.6707175600000003E-2</v>
      </c>
      <c r="AE43" s="24"/>
      <c r="AF43" s="417" t="s">
        <v>384</v>
      </c>
      <c r="AG43" s="418" t="s">
        <v>384</v>
      </c>
      <c r="AH43" s="217" t="s">
        <v>266</v>
      </c>
      <c r="AI43" s="217">
        <v>3.7069569599999998E-2</v>
      </c>
      <c r="AJ43" s="24"/>
      <c r="AK43" s="417" t="s">
        <v>406</v>
      </c>
      <c r="AL43" s="418" t="s">
        <v>406</v>
      </c>
      <c r="AM43" s="217" t="s">
        <v>268</v>
      </c>
      <c r="AN43" s="217">
        <v>2.9157616800000001E-2</v>
      </c>
      <c r="AO43" s="24"/>
      <c r="AP43" s="417" t="s">
        <v>407</v>
      </c>
      <c r="AQ43" s="418" t="s">
        <v>407</v>
      </c>
      <c r="AR43" s="217" t="s">
        <v>268</v>
      </c>
      <c r="AS43" s="217">
        <v>4.4445608099999999E-2</v>
      </c>
      <c r="AT43" s="24"/>
      <c r="AU43" s="417" t="s">
        <v>397</v>
      </c>
      <c r="AV43" s="418" t="s">
        <v>397</v>
      </c>
      <c r="AW43" s="217" t="s">
        <v>266</v>
      </c>
      <c r="AX43" s="217">
        <v>2.7850986899999999E-2</v>
      </c>
      <c r="AY43" s="24"/>
      <c r="AZ43" s="417" t="s">
        <v>408</v>
      </c>
      <c r="BA43" s="418" t="s">
        <v>408</v>
      </c>
      <c r="BB43" s="217" t="s">
        <v>268</v>
      </c>
      <c r="BC43" s="217">
        <v>3.23193731E-2</v>
      </c>
      <c r="BD43" s="24"/>
    </row>
    <row r="44" spans="1:82" s="18" customFormat="1" ht="15" customHeight="1" x14ac:dyDescent="0.3">
      <c r="A44" s="163"/>
      <c r="B44" s="412" t="s">
        <v>5</v>
      </c>
      <c r="C44" s="412"/>
      <c r="D44" s="422">
        <v>0.44169999999999998</v>
      </c>
      <c r="E44" s="265">
        <f>SUM(E34:E43)</f>
        <v>0.43783482260000001</v>
      </c>
      <c r="F44" s="24"/>
      <c r="G44" s="412" t="s">
        <v>5</v>
      </c>
      <c r="H44" s="412"/>
      <c r="I44" s="412"/>
      <c r="J44" s="266">
        <f>SUM(J34:J43)</f>
        <v>1</v>
      </c>
      <c r="K44" s="24"/>
      <c r="L44" s="412" t="s">
        <v>5</v>
      </c>
      <c r="M44" s="412"/>
      <c r="N44" s="412"/>
      <c r="O44" s="265">
        <f>SUM(O34:O43)</f>
        <v>0.37401340220000001</v>
      </c>
      <c r="P44" s="24"/>
      <c r="Q44" s="412" t="s">
        <v>5</v>
      </c>
      <c r="R44" s="412"/>
      <c r="S44" s="422">
        <v>0.45240000000000002</v>
      </c>
      <c r="T44" s="265">
        <f>SUM(T34:T43)</f>
        <v>0.48046363659999997</v>
      </c>
      <c r="U44" s="24"/>
      <c r="V44" s="412" t="s">
        <v>5</v>
      </c>
      <c r="W44" s="412"/>
      <c r="X44" s="412"/>
      <c r="Y44" s="265">
        <f>SUM(Y34:Y43)</f>
        <v>0.74135177659999996</v>
      </c>
      <c r="Z44" s="24"/>
      <c r="AA44" s="423" t="s">
        <v>5</v>
      </c>
      <c r="AB44" s="423"/>
      <c r="AC44" s="423"/>
      <c r="AD44" s="265">
        <f>SUM(AD34:AD43)</f>
        <v>0.47791986249999996</v>
      </c>
      <c r="AE44" s="24"/>
      <c r="AF44" s="412" t="s">
        <v>5</v>
      </c>
      <c r="AG44" s="412"/>
      <c r="AH44" s="412"/>
      <c r="AI44" s="265">
        <f>SUM(AI34:AI43)</f>
        <v>0.42339098890000004</v>
      </c>
      <c r="AJ44" s="24"/>
      <c r="AK44" s="423" t="s">
        <v>5</v>
      </c>
      <c r="AL44" s="423"/>
      <c r="AM44" s="423"/>
      <c r="AN44" s="265">
        <f>SUM(AN34:AN43)</f>
        <v>0.43743933479999997</v>
      </c>
      <c r="AO44" s="24"/>
      <c r="AP44" s="423" t="s">
        <v>5</v>
      </c>
      <c r="AQ44" s="423"/>
      <c r="AR44" s="423"/>
      <c r="AS44" s="265">
        <f>SUM(AS34:AS43)</f>
        <v>0.65837989870000002</v>
      </c>
      <c r="AT44" s="24"/>
      <c r="AU44" s="423" t="s">
        <v>5</v>
      </c>
      <c r="AV44" s="423"/>
      <c r="AW44" s="423"/>
      <c r="AX44" s="265">
        <f>SUM(AX34:AX43)</f>
        <v>0.55257041679999996</v>
      </c>
      <c r="AY44" s="24"/>
      <c r="AZ44" s="423" t="s">
        <v>5</v>
      </c>
      <c r="BA44" s="423"/>
      <c r="BB44" s="423"/>
      <c r="BC44" s="265">
        <f>SUM(BC34:BC43)</f>
        <v>0.4650340577</v>
      </c>
      <c r="BD44" s="24"/>
    </row>
    <row r="45" spans="1:82" s="18" customFormat="1" x14ac:dyDescent="0.3">
      <c r="A45" s="163"/>
      <c r="B45" s="369"/>
      <c r="C45" s="369"/>
      <c r="D45" s="369"/>
      <c r="E45" s="369"/>
      <c r="F45" s="24"/>
      <c r="G45" s="102"/>
      <c r="H45" s="102"/>
      <c r="I45" s="102"/>
      <c r="J45" s="102"/>
      <c r="K45" s="24"/>
      <c r="L45" s="369"/>
      <c r="M45" s="369"/>
      <c r="N45" s="369"/>
      <c r="O45" s="369"/>
      <c r="P45" s="24"/>
      <c r="Q45" s="369"/>
      <c r="R45" s="369"/>
      <c r="S45" s="369"/>
      <c r="T45" s="369"/>
      <c r="U45" s="24"/>
      <c r="V45" s="369"/>
      <c r="W45" s="369"/>
      <c r="X45" s="369"/>
      <c r="Y45" s="369"/>
      <c r="Z45" s="24"/>
      <c r="AA45" s="369"/>
      <c r="AB45" s="369"/>
      <c r="AC45" s="369"/>
      <c r="AD45" s="369"/>
      <c r="AE45" s="24"/>
      <c r="AF45" s="369"/>
      <c r="AG45" s="369"/>
      <c r="AH45" s="369"/>
      <c r="AI45" s="369"/>
      <c r="AJ45" s="24"/>
      <c r="AK45" s="369"/>
      <c r="AL45" s="369"/>
      <c r="AM45" s="369"/>
      <c r="AN45" s="369"/>
      <c r="AO45" s="24"/>
      <c r="AP45" s="369"/>
      <c r="AQ45" s="369"/>
      <c r="AR45" s="369"/>
      <c r="AS45" s="369"/>
      <c r="AT45" s="24"/>
      <c r="AU45" s="369"/>
      <c r="AV45" s="369"/>
      <c r="AW45" s="369"/>
      <c r="AX45" s="369"/>
      <c r="AY45" s="24"/>
      <c r="AZ45" s="424"/>
      <c r="BA45" s="425"/>
      <c r="BB45" s="425"/>
      <c r="BC45" s="425"/>
      <c r="BD45" s="24"/>
    </row>
    <row r="46" spans="1:82" s="18" customFormat="1" x14ac:dyDescent="0.3">
      <c r="A46" s="267" t="s">
        <v>38</v>
      </c>
      <c r="B46" s="408">
        <v>3874.16</v>
      </c>
      <c r="C46" s="408">
        <v>8845.5771000000004</v>
      </c>
      <c r="D46" s="408">
        <v>8845.5771000000004</v>
      </c>
      <c r="E46" s="408">
        <v>8845.5771000000004</v>
      </c>
      <c r="F46" s="24"/>
      <c r="G46" s="376">
        <v>1369.29</v>
      </c>
      <c r="H46" s="376"/>
      <c r="I46" s="376"/>
      <c r="J46" s="376"/>
      <c r="K46" s="24"/>
      <c r="L46" s="408">
        <v>2896.63</v>
      </c>
      <c r="M46" s="408">
        <v>481.79150000000004</v>
      </c>
      <c r="N46" s="408">
        <v>481.79150000000004</v>
      </c>
      <c r="O46" s="408">
        <v>481.79150000000004</v>
      </c>
      <c r="P46" s="24"/>
      <c r="Q46" s="408">
        <v>1025.71</v>
      </c>
      <c r="R46" s="408">
        <v>907.33019999999999</v>
      </c>
      <c r="S46" s="408">
        <v>907.33019999999999</v>
      </c>
      <c r="T46" s="408">
        <v>907.33019999999999</v>
      </c>
      <c r="U46" s="24"/>
      <c r="V46" s="408">
        <v>19.29</v>
      </c>
      <c r="W46" s="408">
        <v>19.252700000000001</v>
      </c>
      <c r="X46" s="408">
        <v>19.252700000000001</v>
      </c>
      <c r="Y46" s="408">
        <v>19.252700000000001</v>
      </c>
      <c r="Z46" s="24"/>
      <c r="AA46" s="408">
        <v>2178.9899999999998</v>
      </c>
      <c r="AB46" s="408">
        <v>1203.002</v>
      </c>
      <c r="AC46" s="408">
        <v>1203.002</v>
      </c>
      <c r="AD46" s="408">
        <v>1203.002</v>
      </c>
      <c r="AE46" s="24"/>
      <c r="AF46" s="408">
        <v>3527.73</v>
      </c>
      <c r="AG46" s="408">
        <v>302.60380000000004</v>
      </c>
      <c r="AH46" s="408">
        <v>302.60380000000004</v>
      </c>
      <c r="AI46" s="408">
        <v>302.60380000000004</v>
      </c>
      <c r="AJ46" s="24"/>
      <c r="AK46" s="408">
        <v>859.89</v>
      </c>
      <c r="AL46" s="408">
        <v>763.08940000000007</v>
      </c>
      <c r="AM46" s="408">
        <v>763.08940000000007</v>
      </c>
      <c r="AN46" s="408">
        <v>763.08940000000007</v>
      </c>
      <c r="AO46" s="24"/>
      <c r="AP46" s="408">
        <v>319.63</v>
      </c>
      <c r="AQ46" s="408">
        <v>34.830100000000002</v>
      </c>
      <c r="AR46" s="408">
        <v>34.830100000000002</v>
      </c>
      <c r="AS46" s="408">
        <v>34.830100000000002</v>
      </c>
      <c r="AT46" s="24"/>
      <c r="AU46" s="408">
        <v>131.94</v>
      </c>
      <c r="AV46" s="408">
        <v>269.80020000000002</v>
      </c>
      <c r="AW46" s="408">
        <v>269.80020000000002</v>
      </c>
      <c r="AX46" s="408">
        <v>269.80020000000002</v>
      </c>
      <c r="AY46" s="24"/>
      <c r="AZ46" s="376">
        <v>828.69</v>
      </c>
      <c r="BA46" s="376"/>
      <c r="BB46" s="376"/>
      <c r="BC46" s="424"/>
      <c r="BD46" s="24"/>
    </row>
    <row r="47" spans="1:82" s="18" customFormat="1" x14ac:dyDescent="0.3">
      <c r="A47" s="102"/>
      <c r="B47" s="369"/>
      <c r="C47" s="369"/>
      <c r="D47" s="369"/>
      <c r="E47" s="369"/>
      <c r="F47" s="24"/>
      <c r="G47" s="102"/>
      <c r="H47" s="102"/>
      <c r="I47" s="102"/>
      <c r="J47" s="102"/>
      <c r="K47" s="24"/>
      <c r="L47" s="369"/>
      <c r="M47" s="369"/>
      <c r="N47" s="369"/>
      <c r="O47" s="369"/>
      <c r="P47" s="24"/>
      <c r="Q47" s="369"/>
      <c r="R47" s="369"/>
      <c r="S47" s="369"/>
      <c r="T47" s="369"/>
      <c r="U47" s="24"/>
      <c r="V47" s="369"/>
      <c r="W47" s="369"/>
      <c r="X47" s="369"/>
      <c r="Y47" s="369"/>
      <c r="Z47" s="24"/>
      <c r="AA47" s="369"/>
      <c r="AB47" s="369"/>
      <c r="AC47" s="369"/>
      <c r="AD47" s="369"/>
      <c r="AE47" s="24"/>
      <c r="AF47" s="369"/>
      <c r="AG47" s="369"/>
      <c r="AH47" s="369"/>
      <c r="AI47" s="369"/>
      <c r="AJ47" s="24"/>
      <c r="AK47" s="369"/>
      <c r="AL47" s="369"/>
      <c r="AM47" s="369"/>
      <c r="AN47" s="369"/>
      <c r="AO47" s="24"/>
      <c r="AP47" s="369"/>
      <c r="AQ47" s="369"/>
      <c r="AR47" s="369"/>
      <c r="AS47" s="369"/>
      <c r="AT47" s="24"/>
      <c r="AU47" s="369"/>
      <c r="AV47" s="369"/>
      <c r="AW47" s="369"/>
      <c r="AX47" s="369"/>
      <c r="AY47" s="24"/>
      <c r="AZ47" s="424"/>
      <c r="BA47" s="425"/>
      <c r="BB47" s="425"/>
      <c r="BC47" s="425"/>
      <c r="BD47" s="24"/>
    </row>
    <row r="48" spans="1:82" s="18" customFormat="1" x14ac:dyDescent="0.3">
      <c r="A48" s="11" t="s">
        <v>39</v>
      </c>
      <c r="B48" s="376"/>
      <c r="C48" s="376"/>
      <c r="D48" s="376"/>
      <c r="E48" s="376"/>
      <c r="F48" s="24"/>
      <c r="G48" s="102"/>
      <c r="H48" s="102"/>
      <c r="I48" s="102"/>
      <c r="J48" s="102"/>
      <c r="K48" s="24"/>
      <c r="L48" s="369"/>
      <c r="M48" s="369"/>
      <c r="N48" s="369"/>
      <c r="O48" s="369"/>
      <c r="P48" s="24"/>
      <c r="Q48" s="369"/>
      <c r="R48" s="369"/>
      <c r="S48" s="369"/>
      <c r="T48" s="369"/>
      <c r="U48" s="24"/>
      <c r="V48" s="369"/>
      <c r="W48" s="369"/>
      <c r="X48" s="369"/>
      <c r="Y48" s="369"/>
      <c r="Z48" s="24"/>
      <c r="AA48" s="369"/>
      <c r="AB48" s="369"/>
      <c r="AC48" s="369"/>
      <c r="AD48" s="369"/>
      <c r="AE48" s="24"/>
      <c r="AF48" s="369"/>
      <c r="AG48" s="369"/>
      <c r="AH48" s="369"/>
      <c r="AI48" s="369"/>
      <c r="AJ48" s="24"/>
      <c r="AK48" s="369"/>
      <c r="AL48" s="369"/>
      <c r="AM48" s="369"/>
      <c r="AN48" s="369"/>
      <c r="AO48" s="24"/>
      <c r="AP48" s="369"/>
      <c r="AQ48" s="369"/>
      <c r="AR48" s="369"/>
      <c r="AS48" s="369"/>
      <c r="AT48" s="24"/>
      <c r="AU48" s="369"/>
      <c r="AV48" s="369"/>
      <c r="AW48" s="369"/>
      <c r="AX48" s="369"/>
      <c r="AY48" s="24"/>
      <c r="AZ48" s="424"/>
      <c r="BA48" s="425"/>
      <c r="BB48" s="425"/>
      <c r="BC48" s="425"/>
      <c r="BD48" s="24"/>
    </row>
    <row r="49" spans="1:78" s="18" customFormat="1" x14ac:dyDescent="0.3">
      <c r="A49" s="12" t="s">
        <v>24</v>
      </c>
      <c r="B49" s="426">
        <v>2.2000000000000001E-3</v>
      </c>
      <c r="C49" s="426">
        <v>1.5E-3</v>
      </c>
      <c r="D49" s="426">
        <v>1.5E-3</v>
      </c>
      <c r="E49" s="426">
        <v>1.5E-3</v>
      </c>
      <c r="F49" s="24"/>
      <c r="G49" s="426">
        <v>1.5E-3</v>
      </c>
      <c r="H49" s="426">
        <v>1.5E-3</v>
      </c>
      <c r="I49" s="426">
        <v>1.5E-3</v>
      </c>
      <c r="J49" s="426">
        <v>1.5E-3</v>
      </c>
      <c r="K49" s="24"/>
      <c r="L49" s="426">
        <v>6.4999999999999997E-3</v>
      </c>
      <c r="M49" s="426">
        <v>6.4999999999999997E-3</v>
      </c>
      <c r="N49" s="426">
        <v>6.4999999999999997E-3</v>
      </c>
      <c r="O49" s="426">
        <v>6.4999999999999997E-3</v>
      </c>
      <c r="P49" s="24"/>
      <c r="Q49" s="426">
        <v>1.2E-2</v>
      </c>
      <c r="R49" s="426">
        <v>1.2500000000000001E-2</v>
      </c>
      <c r="S49" s="426">
        <v>1.2500000000000001E-2</v>
      </c>
      <c r="T49" s="426">
        <v>1.2500000000000001E-2</v>
      </c>
      <c r="U49" s="24"/>
      <c r="V49" s="426">
        <v>1.2500000000000001E-2</v>
      </c>
      <c r="W49" s="426">
        <v>1.2500000000000001E-2</v>
      </c>
      <c r="X49" s="426">
        <v>1.2500000000000001E-2</v>
      </c>
      <c r="Y49" s="426">
        <v>1.2500000000000001E-2</v>
      </c>
      <c r="Z49" s="24"/>
      <c r="AA49" s="426">
        <v>5.4999999999999997E-3</v>
      </c>
      <c r="AB49" s="426">
        <v>5.4999999999999997E-3</v>
      </c>
      <c r="AC49" s="426">
        <v>5.4999999999999997E-3</v>
      </c>
      <c r="AD49" s="426">
        <v>5.4999999999999997E-3</v>
      </c>
      <c r="AE49" s="24"/>
      <c r="AF49" s="426">
        <v>6.4999999999999997E-3</v>
      </c>
      <c r="AG49" s="426">
        <v>6.0000000000000001E-3</v>
      </c>
      <c r="AH49" s="426">
        <v>6.0000000000000001E-3</v>
      </c>
      <c r="AI49" s="426">
        <v>6.0000000000000001E-3</v>
      </c>
      <c r="AJ49" s="24"/>
      <c r="AK49" s="426">
        <v>8.8999999999999999E-3</v>
      </c>
      <c r="AL49" s="426">
        <v>9.2999999999999992E-3</v>
      </c>
      <c r="AM49" s="426">
        <v>9.2999999999999992E-3</v>
      </c>
      <c r="AN49" s="426">
        <v>9.2999999999999992E-3</v>
      </c>
      <c r="AO49" s="24"/>
      <c r="AP49" s="426">
        <v>6.4999999999999997E-3</v>
      </c>
      <c r="AQ49" s="426">
        <v>6.4999999999999997E-3</v>
      </c>
      <c r="AR49" s="426">
        <v>6.4999999999999997E-3</v>
      </c>
      <c r="AS49" s="426">
        <v>6.4999999999999997E-3</v>
      </c>
      <c r="AT49" s="24"/>
      <c r="AU49" s="426">
        <v>1.4999999999999999E-2</v>
      </c>
      <c r="AV49" s="426">
        <v>1.4999999999999999E-2</v>
      </c>
      <c r="AW49" s="426">
        <v>1.4999999999999999E-2</v>
      </c>
      <c r="AX49" s="426">
        <v>1.4999999999999999E-2</v>
      </c>
      <c r="AY49" s="24"/>
      <c r="AZ49" s="426">
        <v>1.34E-2</v>
      </c>
      <c r="BA49" s="376"/>
      <c r="BB49" s="376"/>
      <c r="BC49" s="424"/>
      <c r="BD49" s="24"/>
    </row>
    <row r="50" spans="1:78" s="18" customFormat="1" x14ac:dyDescent="0.3">
      <c r="A50" s="12" t="s">
        <v>6</v>
      </c>
      <c r="B50" s="426">
        <v>1.5E-3</v>
      </c>
      <c r="C50" s="426">
        <v>8.9999999999999998E-4</v>
      </c>
      <c r="D50" s="426">
        <v>8.9999999999999998E-4</v>
      </c>
      <c r="E50" s="426">
        <v>8.9999999999999998E-4</v>
      </c>
      <c r="F50" s="24"/>
      <c r="G50" s="426">
        <v>8.9999999999999998E-4</v>
      </c>
      <c r="H50" s="426">
        <v>8.9999999999999998E-4</v>
      </c>
      <c r="I50" s="426">
        <v>8.9999999999999998E-4</v>
      </c>
      <c r="J50" s="426">
        <v>8.9999999999999998E-4</v>
      </c>
      <c r="K50" s="24"/>
      <c r="L50" s="426">
        <v>3.2000000000000002E-3</v>
      </c>
      <c r="M50" s="426">
        <v>3.5000000000000001E-3</v>
      </c>
      <c r="N50" s="426">
        <v>3.5000000000000001E-3</v>
      </c>
      <c r="O50" s="426">
        <v>3.5000000000000001E-3</v>
      </c>
      <c r="P50" s="24"/>
      <c r="Q50" s="426">
        <v>3.5000000000000001E-3</v>
      </c>
      <c r="R50" s="426">
        <v>4.0000000000000001E-3</v>
      </c>
      <c r="S50" s="426">
        <v>4.0000000000000001E-3</v>
      </c>
      <c r="T50" s="426">
        <v>4.0000000000000001E-3</v>
      </c>
      <c r="U50" s="24"/>
      <c r="V50" s="426">
        <v>4.7999999999999996E-3</v>
      </c>
      <c r="W50" s="426">
        <v>2.3999999999999998E-3</v>
      </c>
      <c r="X50" s="426">
        <v>2.3999999999999998E-3</v>
      </c>
      <c r="Y50" s="426">
        <v>2.3999999999999998E-3</v>
      </c>
      <c r="Z50" s="24"/>
      <c r="AA50" s="426">
        <v>2E-3</v>
      </c>
      <c r="AB50" s="426">
        <v>2E-3</v>
      </c>
      <c r="AC50" s="426">
        <v>2E-3</v>
      </c>
      <c r="AD50" s="426">
        <v>2E-3</v>
      </c>
      <c r="AE50" s="24"/>
      <c r="AF50" s="426">
        <v>2.5000000000000001E-3</v>
      </c>
      <c r="AG50" s="426">
        <v>2E-3</v>
      </c>
      <c r="AH50" s="426">
        <v>2E-3</v>
      </c>
      <c r="AI50" s="426">
        <v>2E-3</v>
      </c>
      <c r="AJ50" s="24"/>
      <c r="AK50" s="426">
        <v>2.3999999999999998E-3</v>
      </c>
      <c r="AL50" s="426">
        <v>2.8E-3</v>
      </c>
      <c r="AM50" s="426">
        <v>2.8E-3</v>
      </c>
      <c r="AN50" s="426">
        <v>2.8E-3</v>
      </c>
      <c r="AO50" s="24"/>
      <c r="AP50" s="426">
        <v>2.3E-3</v>
      </c>
      <c r="AQ50" s="426">
        <v>5.0000000000000001E-4</v>
      </c>
      <c r="AR50" s="426">
        <v>5.0000000000000001E-4</v>
      </c>
      <c r="AS50" s="426">
        <v>5.0000000000000001E-4</v>
      </c>
      <c r="AT50" s="24"/>
      <c r="AU50" s="426" t="s">
        <v>409</v>
      </c>
      <c r="AV50" s="426">
        <v>5.0000000000000001E-4</v>
      </c>
      <c r="AW50" s="426">
        <v>5.0000000000000001E-4</v>
      </c>
      <c r="AX50" s="426">
        <v>5.0000000000000001E-4</v>
      </c>
      <c r="AY50" s="24"/>
      <c r="AZ50" s="426">
        <v>3.8999999999999998E-3</v>
      </c>
      <c r="BA50" s="376"/>
      <c r="BB50" s="376"/>
      <c r="BC50" s="424"/>
      <c r="BD50" s="24"/>
    </row>
    <row r="51" spans="1:78" s="15" customFormat="1" ht="204" customHeight="1" x14ac:dyDescent="0.3">
      <c r="A51" s="224" t="s">
        <v>41</v>
      </c>
      <c r="B51" s="428" t="s">
        <v>410</v>
      </c>
      <c r="C51" s="429"/>
      <c r="D51" s="429"/>
      <c r="E51" s="429"/>
      <c r="F51" s="225"/>
      <c r="G51" s="268"/>
      <c r="H51" s="268"/>
      <c r="I51" s="268"/>
      <c r="J51" s="268"/>
      <c r="K51" s="225"/>
      <c r="L51" s="268"/>
      <c r="M51" s="268"/>
      <c r="N51" s="268"/>
      <c r="O51" s="268"/>
      <c r="P51" s="225"/>
      <c r="Q51" s="268"/>
      <c r="R51" s="268"/>
      <c r="S51" s="268"/>
      <c r="T51" s="268"/>
      <c r="U51" s="225"/>
      <c r="V51" s="268"/>
      <c r="W51" s="268"/>
      <c r="X51" s="268"/>
      <c r="Y51" s="268"/>
      <c r="Z51" s="225"/>
      <c r="AA51" s="268"/>
      <c r="AB51" s="268"/>
      <c r="AC51" s="268"/>
      <c r="AD51" s="268"/>
      <c r="AE51" s="225"/>
      <c r="AF51" s="269"/>
      <c r="AG51" s="269"/>
      <c r="AH51" s="269"/>
      <c r="AI51" s="269"/>
      <c r="AJ51" s="225"/>
      <c r="AK51" s="269"/>
      <c r="AL51" s="269"/>
      <c r="AM51" s="269"/>
      <c r="AN51" s="269"/>
      <c r="AO51" s="225"/>
      <c r="AP51" s="269"/>
      <c r="AQ51" s="269"/>
      <c r="AR51" s="269"/>
      <c r="AS51" s="269"/>
      <c r="AT51" s="225"/>
      <c r="AU51" s="270"/>
      <c r="AV51" s="270"/>
      <c r="AW51" s="270"/>
      <c r="AX51" s="270"/>
      <c r="AY51" s="225"/>
      <c r="AZ51" s="270"/>
      <c r="BA51" s="270"/>
      <c r="BB51" s="270"/>
      <c r="BC51" s="270"/>
      <c r="BD51" s="225"/>
      <c r="BE51" s="271"/>
      <c r="BF51" s="271"/>
      <c r="BG51" s="271"/>
      <c r="BH51" s="271"/>
    </row>
    <row r="52" spans="1:78" s="173" customFormat="1" ht="29.25" customHeight="1" x14ac:dyDescent="0.3">
      <c r="A52" s="40" t="s">
        <v>42</v>
      </c>
      <c r="B52" s="272"/>
      <c r="C52" s="273"/>
      <c r="D52" s="273"/>
      <c r="E52" s="273"/>
      <c r="F52" s="274"/>
      <c r="G52" s="275"/>
      <c r="H52" s="275"/>
      <c r="I52" s="275"/>
      <c r="J52" s="275"/>
      <c r="K52" s="274"/>
      <c r="L52" s="275"/>
      <c r="M52" s="275"/>
      <c r="N52" s="275"/>
      <c r="O52" s="275"/>
      <c r="P52" s="274"/>
      <c r="Q52" s="275"/>
      <c r="R52" s="275"/>
      <c r="S52" s="275"/>
      <c r="T52" s="275"/>
      <c r="U52" s="274"/>
      <c r="V52" s="275"/>
      <c r="W52" s="275"/>
      <c r="X52" s="275"/>
      <c r="Y52" s="275"/>
      <c r="Z52" s="274"/>
      <c r="AA52" s="275"/>
      <c r="AB52" s="275"/>
      <c r="AC52" s="275"/>
      <c r="AD52" s="275"/>
      <c r="AE52" s="274"/>
      <c r="AF52" s="41"/>
      <c r="AG52" s="41"/>
      <c r="AH52" s="41"/>
      <c r="AI52" s="41"/>
      <c r="AJ52" s="274"/>
      <c r="AK52" s="41"/>
      <c r="AL52" s="41"/>
      <c r="AM52" s="41"/>
      <c r="AN52" s="41"/>
      <c r="AO52" s="274"/>
      <c r="AP52" s="41"/>
      <c r="AQ52" s="41"/>
      <c r="AR52" s="41"/>
      <c r="AS52" s="41"/>
      <c r="AT52" s="274"/>
      <c r="AU52" s="43"/>
      <c r="AV52" s="43"/>
      <c r="AW52" s="43"/>
      <c r="AX52" s="43"/>
      <c r="AY52" s="274"/>
      <c r="AZ52" s="43"/>
      <c r="BA52" s="43"/>
      <c r="BB52" s="43"/>
      <c r="BC52" s="43"/>
      <c r="BD52" s="274"/>
      <c r="BE52" s="276"/>
      <c r="BF52" s="276"/>
      <c r="BG52" s="276"/>
      <c r="BH52" s="276"/>
    </row>
    <row r="53" spans="1:78" s="15" customFormat="1" ht="162.6" customHeight="1" x14ac:dyDescent="0.3">
      <c r="A53" s="277" t="s">
        <v>40</v>
      </c>
      <c r="B53" s="278"/>
      <c r="C53" s="278"/>
      <c r="D53" s="278"/>
      <c r="E53" s="278"/>
      <c r="F53" s="279"/>
      <c r="G53" s="278"/>
      <c r="H53" s="278"/>
      <c r="I53" s="278"/>
      <c r="J53" s="278"/>
      <c r="K53" s="279"/>
      <c r="L53" s="278"/>
      <c r="M53" s="278"/>
      <c r="N53" s="278"/>
      <c r="O53" s="278"/>
      <c r="P53" s="279"/>
      <c r="Q53" s="278"/>
      <c r="R53" s="278"/>
      <c r="S53" s="278"/>
      <c r="T53" s="278"/>
      <c r="U53" s="279"/>
      <c r="V53" s="278"/>
      <c r="W53" s="278"/>
      <c r="X53" s="278"/>
      <c r="Y53" s="278"/>
      <c r="Z53" s="279"/>
      <c r="AA53" s="278"/>
      <c r="AB53" s="278"/>
      <c r="AC53" s="278"/>
      <c r="AD53" s="278"/>
      <c r="AE53" s="279"/>
      <c r="AF53" s="280"/>
      <c r="AG53" s="280"/>
      <c r="AH53" s="280"/>
      <c r="AI53" s="280"/>
      <c r="AJ53" s="279"/>
      <c r="AK53" s="280"/>
      <c r="AL53" s="280"/>
      <c r="AM53" s="280"/>
      <c r="AN53" s="280"/>
      <c r="AO53" s="279"/>
      <c r="AP53" s="280"/>
      <c r="AQ53" s="280"/>
      <c r="AR53" s="280"/>
      <c r="AS53" s="280"/>
      <c r="AT53" s="279"/>
      <c r="AU53" s="281"/>
      <c r="AV53" s="281"/>
      <c r="AW53" s="281"/>
      <c r="AX53" s="281"/>
      <c r="AY53" s="279"/>
      <c r="AZ53" s="281"/>
      <c r="BA53" s="281"/>
      <c r="BB53" s="281"/>
      <c r="BC53" s="281"/>
      <c r="BD53" s="279"/>
      <c r="BE53" s="271"/>
      <c r="BF53" s="271"/>
      <c r="BG53" s="271"/>
      <c r="BH53" s="271"/>
    </row>
    <row r="54" spans="1:78" s="18" customFormat="1" ht="151.94999999999999" customHeight="1" x14ac:dyDescent="0.3">
      <c r="A54" s="227" t="s">
        <v>411</v>
      </c>
      <c r="B54" s="179"/>
      <c r="C54" s="179"/>
      <c r="D54" s="179"/>
      <c r="E54" s="282"/>
      <c r="F54" s="283"/>
      <c r="G54" s="282"/>
      <c r="H54" s="179"/>
      <c r="I54" s="179"/>
      <c r="J54" s="282"/>
      <c r="K54" s="283"/>
      <c r="L54" s="282"/>
      <c r="M54" s="282"/>
      <c r="N54" s="282"/>
      <c r="O54" s="282"/>
      <c r="P54" s="283"/>
      <c r="Q54" s="282"/>
      <c r="R54" s="282"/>
      <c r="S54" s="282"/>
      <c r="T54" s="282"/>
      <c r="U54" s="283"/>
      <c r="V54" s="282"/>
      <c r="W54" s="282"/>
      <c r="X54" s="282"/>
      <c r="Y54" s="282"/>
      <c r="Z54" s="283"/>
      <c r="AA54" s="282"/>
      <c r="AB54" s="282"/>
      <c r="AC54" s="282"/>
      <c r="AD54" s="282"/>
      <c r="AE54" s="283"/>
      <c r="AF54" s="282"/>
      <c r="AG54" s="282"/>
      <c r="AH54" s="282"/>
      <c r="AI54" s="282"/>
      <c r="AJ54" s="283"/>
      <c r="AK54" s="282"/>
      <c r="AL54" s="282"/>
      <c r="AM54" s="282"/>
      <c r="AN54" s="282"/>
      <c r="AO54" s="283"/>
      <c r="AP54" s="282"/>
      <c r="AQ54" s="282"/>
      <c r="AR54" s="282"/>
      <c r="AS54" s="282"/>
      <c r="AT54" s="283"/>
      <c r="AU54" s="282"/>
      <c r="AV54" s="282"/>
      <c r="AW54" s="282"/>
      <c r="AX54" s="282"/>
      <c r="AY54" s="283"/>
      <c r="AZ54" s="282"/>
      <c r="BA54" s="282"/>
      <c r="BB54" s="282"/>
      <c r="BC54" s="282"/>
      <c r="BD54" s="283"/>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row>
    <row r="55" spans="1:78" s="15" customFormat="1" x14ac:dyDescent="0.3">
      <c r="A55" s="285" t="s">
        <v>7</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row>
    <row r="56" spans="1:78" s="15" customFormat="1" ht="16.2" x14ac:dyDescent="0.3">
      <c r="A56" s="284" t="s">
        <v>412</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row>
    <row r="57" spans="1:78" s="186" customFormat="1" ht="19.8" customHeight="1" x14ac:dyDescent="0.3">
      <c r="A57" s="427" t="s">
        <v>413</v>
      </c>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row>
    <row r="58" spans="1:78" s="186" customFormat="1" x14ac:dyDescent="0.3">
      <c r="A58" t="s">
        <v>414</v>
      </c>
      <c r="B58"/>
      <c r="C58"/>
      <c r="D58" s="286"/>
      <c r="E58" s="286"/>
      <c r="F58"/>
      <c r="G58"/>
      <c r="H58"/>
      <c r="I58"/>
      <c r="J58"/>
      <c r="K58"/>
      <c r="L58"/>
      <c r="M58"/>
      <c r="N58" s="286"/>
      <c r="O58" s="286"/>
      <c r="P58"/>
      <c r="Q58"/>
      <c r="R58"/>
      <c r="S58"/>
      <c r="T58"/>
      <c r="U58"/>
      <c r="V58"/>
      <c r="W58"/>
      <c r="X58"/>
      <c r="Y58"/>
      <c r="Z58"/>
      <c r="AA58"/>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row>
    <row r="59" spans="1:78" s="186" customFormat="1" x14ac:dyDescent="0.3">
      <c r="A59" t="s">
        <v>415</v>
      </c>
      <c r="B59"/>
      <c r="C59"/>
      <c r="D59"/>
      <c r="E59" s="286"/>
      <c r="F59"/>
      <c r="G59"/>
      <c r="H59"/>
      <c r="I59"/>
      <c r="J59"/>
      <c r="K59"/>
      <c r="L59"/>
      <c r="M59"/>
      <c r="N59" s="286"/>
      <c r="O59" s="286"/>
      <c r="P59"/>
      <c r="Q59"/>
      <c r="R59"/>
      <c r="S59"/>
      <c r="T59"/>
      <c r="U59"/>
      <c r="V59"/>
      <c r="W59"/>
      <c r="X59"/>
      <c r="Y59"/>
      <c r="Z59"/>
      <c r="AA59"/>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row>
    <row r="60" spans="1:78" s="184" customFormat="1" x14ac:dyDescent="0.3">
      <c r="A60" s="287"/>
      <c r="E60" s="288"/>
      <c r="N60" s="288"/>
      <c r="O60" s="288"/>
      <c r="AZ60" s="186"/>
      <c r="BA60" s="186"/>
      <c r="BB60" s="186"/>
      <c r="BC60" s="186"/>
    </row>
    <row r="61" spans="1:78" s="184" customFormat="1" x14ac:dyDescent="0.3">
      <c r="E61" s="288"/>
      <c r="N61" s="288"/>
      <c r="O61" s="288"/>
      <c r="AZ61" s="186"/>
      <c r="BA61" s="186"/>
      <c r="BB61" s="186"/>
      <c r="BC61" s="186"/>
    </row>
    <row r="62" spans="1:78" s="184" customFormat="1" x14ac:dyDescent="0.3">
      <c r="E62" s="288"/>
      <c r="N62" s="288"/>
      <c r="O62" s="288"/>
      <c r="AZ62" s="186"/>
      <c r="BA62" s="186"/>
      <c r="BB62" s="186"/>
      <c r="BC62" s="186"/>
    </row>
    <row r="63" spans="1:78" s="184" customFormat="1" x14ac:dyDescent="0.3">
      <c r="E63" s="288"/>
      <c r="N63" s="288"/>
      <c r="O63" s="288"/>
      <c r="AZ63" s="186"/>
      <c r="BA63" s="186"/>
      <c r="BB63" s="186"/>
      <c r="BC63" s="186"/>
    </row>
    <row r="64" spans="1:78" s="184" customFormat="1" x14ac:dyDescent="0.3">
      <c r="E64" s="288"/>
      <c r="N64" s="288"/>
      <c r="O64" s="288"/>
      <c r="AZ64" s="186"/>
      <c r="BA64" s="186"/>
      <c r="BB64" s="186"/>
      <c r="BC64" s="186"/>
    </row>
    <row r="65" spans="5:55" s="184" customFormat="1" x14ac:dyDescent="0.3">
      <c r="E65" s="288"/>
      <c r="N65" s="288"/>
      <c r="O65" s="288"/>
      <c r="AZ65" s="186"/>
      <c r="BA65" s="186"/>
      <c r="BB65" s="186"/>
      <c r="BC65" s="186"/>
    </row>
    <row r="66" spans="5:55" s="184" customFormat="1" x14ac:dyDescent="0.3">
      <c r="E66" s="288"/>
      <c r="N66" s="288"/>
      <c r="O66" s="288"/>
      <c r="AZ66" s="186"/>
      <c r="BA66" s="186"/>
      <c r="BB66" s="186"/>
      <c r="BC66" s="186"/>
    </row>
    <row r="67" spans="5:55" s="184" customFormat="1" x14ac:dyDescent="0.3">
      <c r="E67" s="288"/>
      <c r="N67" s="288"/>
      <c r="O67" s="288"/>
      <c r="AZ67" s="186"/>
      <c r="BA67" s="186"/>
      <c r="BB67" s="186"/>
      <c r="BC67" s="186"/>
    </row>
    <row r="68" spans="5:55" s="184" customFormat="1" x14ac:dyDescent="0.3">
      <c r="E68" s="288"/>
      <c r="N68" s="288"/>
      <c r="O68" s="288"/>
      <c r="AZ68" s="186"/>
      <c r="BA68" s="186"/>
      <c r="BB68" s="186"/>
      <c r="BC68" s="186"/>
    </row>
    <row r="69" spans="5:55" s="184" customFormat="1" x14ac:dyDescent="0.3">
      <c r="E69" s="288"/>
      <c r="N69" s="288"/>
      <c r="O69" s="288"/>
      <c r="AZ69" s="186"/>
      <c r="BA69" s="186"/>
      <c r="BB69" s="186"/>
      <c r="BC69" s="186"/>
    </row>
    <row r="70" spans="5:55" s="184" customFormat="1" x14ac:dyDescent="0.3">
      <c r="E70" s="288"/>
      <c r="N70" s="288"/>
      <c r="O70" s="288"/>
      <c r="AZ70" s="186"/>
      <c r="BA70" s="186"/>
      <c r="BB70" s="186"/>
      <c r="BC70" s="186"/>
    </row>
    <row r="71" spans="5:55" s="184" customFormat="1" x14ac:dyDescent="0.3">
      <c r="E71" s="288"/>
      <c r="N71" s="288"/>
      <c r="O71" s="288"/>
      <c r="AZ71" s="186"/>
      <c r="BA71" s="186"/>
      <c r="BB71" s="186"/>
      <c r="BC71" s="186"/>
    </row>
    <row r="72" spans="5:55" s="184" customFormat="1" x14ac:dyDescent="0.3">
      <c r="E72" s="288"/>
      <c r="N72" s="288"/>
      <c r="O72" s="288"/>
      <c r="AZ72" s="186"/>
      <c r="BA72" s="186"/>
      <c r="BB72" s="186"/>
      <c r="BC72" s="186"/>
    </row>
    <row r="73" spans="5:55" s="184" customFormat="1" x14ac:dyDescent="0.3">
      <c r="E73" s="288"/>
      <c r="N73" s="288"/>
      <c r="O73" s="288"/>
      <c r="AZ73" s="186"/>
      <c r="BA73" s="186"/>
      <c r="BB73" s="186"/>
      <c r="BC73" s="186"/>
    </row>
    <row r="74" spans="5:55" s="184" customFormat="1" x14ac:dyDescent="0.3">
      <c r="E74" s="288"/>
      <c r="N74" s="288"/>
      <c r="O74" s="288"/>
      <c r="AZ74" s="186"/>
      <c r="BA74" s="186"/>
      <c r="BB74" s="186"/>
      <c r="BC74" s="186"/>
    </row>
    <row r="75" spans="5:55" s="184" customFormat="1" x14ac:dyDescent="0.3">
      <c r="E75" s="288"/>
      <c r="N75" s="288"/>
      <c r="O75" s="288"/>
      <c r="AZ75" s="186"/>
      <c r="BA75" s="186"/>
      <c r="BB75" s="186"/>
      <c r="BC75" s="186"/>
    </row>
    <row r="76" spans="5:55" s="184" customFormat="1" x14ac:dyDescent="0.3">
      <c r="E76" s="288"/>
      <c r="N76" s="288"/>
      <c r="O76" s="288"/>
      <c r="AZ76" s="186"/>
      <c r="BA76" s="186"/>
      <c r="BB76" s="186"/>
      <c r="BC76" s="186"/>
    </row>
    <row r="77" spans="5:55" s="184" customFormat="1" x14ac:dyDescent="0.3">
      <c r="E77" s="288"/>
      <c r="N77" s="288"/>
      <c r="O77" s="288"/>
      <c r="AZ77" s="186"/>
      <c r="BA77" s="186"/>
      <c r="BB77" s="186"/>
      <c r="BC77" s="186"/>
    </row>
    <row r="78" spans="5:55" s="184" customFormat="1" x14ac:dyDescent="0.3">
      <c r="E78" s="288"/>
      <c r="N78" s="288"/>
      <c r="O78" s="288"/>
      <c r="AZ78" s="186"/>
      <c r="BA78" s="186"/>
      <c r="BB78" s="186"/>
      <c r="BC78" s="186"/>
    </row>
    <row r="79" spans="5:55" s="184" customFormat="1" x14ac:dyDescent="0.3">
      <c r="E79" s="288"/>
      <c r="N79" s="288"/>
      <c r="O79" s="288"/>
      <c r="AZ79" s="186"/>
      <c r="BA79" s="186"/>
      <c r="BB79" s="186"/>
      <c r="BC79" s="186"/>
    </row>
    <row r="80" spans="5:55" s="184" customFormat="1" x14ac:dyDescent="0.3">
      <c r="E80" s="288"/>
      <c r="N80" s="288"/>
      <c r="O80" s="288"/>
      <c r="AZ80" s="186"/>
      <c r="BA80" s="186"/>
      <c r="BB80" s="186"/>
      <c r="BC80" s="186"/>
    </row>
    <row r="81" spans="5:55" s="184" customFormat="1" x14ac:dyDescent="0.3">
      <c r="E81" s="288"/>
      <c r="N81" s="288"/>
      <c r="O81" s="288"/>
      <c r="AZ81" s="186"/>
      <c r="BA81" s="186"/>
      <c r="BB81" s="186"/>
      <c r="BC81" s="186"/>
    </row>
    <row r="82" spans="5:55" s="184" customFormat="1" x14ac:dyDescent="0.3">
      <c r="E82" s="288"/>
      <c r="N82" s="288"/>
      <c r="O82" s="288"/>
      <c r="AZ82" s="186"/>
      <c r="BA82" s="186"/>
      <c r="BB82" s="186"/>
      <c r="BC82" s="186"/>
    </row>
    <row r="83" spans="5:55" s="184" customFormat="1" x14ac:dyDescent="0.3">
      <c r="E83" s="288"/>
      <c r="N83" s="288"/>
      <c r="O83" s="288"/>
      <c r="AZ83" s="186"/>
      <c r="BA83" s="186"/>
      <c r="BB83" s="186"/>
      <c r="BC83" s="186"/>
    </row>
    <row r="84" spans="5:55" s="184" customFormat="1" x14ac:dyDescent="0.3">
      <c r="E84" s="288"/>
      <c r="N84" s="288"/>
      <c r="O84" s="288"/>
      <c r="AZ84" s="186"/>
      <c r="BA84" s="186"/>
      <c r="BB84" s="186"/>
      <c r="BC84" s="186"/>
    </row>
    <row r="85" spans="5:55" s="184" customFormat="1" x14ac:dyDescent="0.3">
      <c r="E85" s="288"/>
      <c r="N85" s="288"/>
      <c r="O85" s="288"/>
      <c r="AZ85" s="186"/>
      <c r="BA85" s="186"/>
      <c r="BB85" s="186"/>
      <c r="BC85" s="186"/>
    </row>
    <row r="86" spans="5:55" s="184" customFormat="1" x14ac:dyDescent="0.3">
      <c r="E86" s="288"/>
      <c r="N86" s="288"/>
      <c r="O86" s="288"/>
      <c r="AZ86" s="186"/>
      <c r="BA86" s="186"/>
      <c r="BB86" s="186"/>
      <c r="BC86" s="186"/>
    </row>
    <row r="87" spans="5:55" s="184" customFormat="1" x14ac:dyDescent="0.3">
      <c r="E87" s="288"/>
      <c r="N87" s="288"/>
      <c r="O87" s="288"/>
      <c r="AZ87" s="186"/>
      <c r="BA87" s="186"/>
      <c r="BB87" s="186"/>
      <c r="BC87" s="186"/>
    </row>
    <row r="88" spans="5:55" s="184" customFormat="1" x14ac:dyDescent="0.3">
      <c r="E88" s="288"/>
      <c r="N88" s="288"/>
      <c r="O88" s="288"/>
      <c r="AZ88" s="186"/>
      <c r="BA88" s="186"/>
      <c r="BB88" s="186"/>
      <c r="BC88" s="186"/>
    </row>
    <row r="89" spans="5:55" s="184" customFormat="1" x14ac:dyDescent="0.3">
      <c r="E89" s="288"/>
      <c r="N89" s="288"/>
      <c r="O89" s="288"/>
      <c r="AZ89" s="186"/>
      <c r="BA89" s="186"/>
      <c r="BB89" s="186"/>
      <c r="BC89" s="186"/>
    </row>
    <row r="90" spans="5:55" s="184" customFormat="1" x14ac:dyDescent="0.3">
      <c r="E90" s="288"/>
      <c r="N90" s="288"/>
      <c r="O90" s="288"/>
      <c r="AZ90" s="186"/>
      <c r="BA90" s="186"/>
      <c r="BB90" s="186"/>
      <c r="BC90" s="186"/>
    </row>
    <row r="91" spans="5:55" s="184" customFormat="1" x14ac:dyDescent="0.3">
      <c r="E91" s="288"/>
      <c r="N91" s="288"/>
      <c r="O91" s="288"/>
      <c r="AZ91" s="186"/>
      <c r="BA91" s="186"/>
      <c r="BB91" s="186"/>
      <c r="BC91" s="186"/>
    </row>
    <row r="92" spans="5:55" s="184" customFormat="1" x14ac:dyDescent="0.3">
      <c r="E92" s="288"/>
      <c r="N92" s="288"/>
      <c r="O92" s="288"/>
      <c r="AZ92" s="186"/>
      <c r="BA92" s="186"/>
      <c r="BB92" s="186"/>
      <c r="BC92" s="186"/>
    </row>
    <row r="93" spans="5:55" s="184" customFormat="1" x14ac:dyDescent="0.3">
      <c r="E93" s="288"/>
      <c r="N93" s="288"/>
      <c r="O93" s="288"/>
      <c r="AZ93" s="186"/>
      <c r="BA93" s="186"/>
      <c r="BB93" s="186"/>
      <c r="BC93" s="186"/>
    </row>
    <row r="94" spans="5:55" s="184" customFormat="1" x14ac:dyDescent="0.3">
      <c r="E94" s="288"/>
      <c r="N94" s="288"/>
      <c r="O94" s="288"/>
      <c r="AZ94" s="186"/>
      <c r="BA94" s="186"/>
      <c r="BB94" s="186"/>
      <c r="BC94" s="186"/>
    </row>
    <row r="95" spans="5:55" s="184" customFormat="1" x14ac:dyDescent="0.3">
      <c r="E95" s="288"/>
      <c r="N95" s="288"/>
      <c r="O95" s="288"/>
      <c r="AZ95" s="186"/>
      <c r="BA95" s="186"/>
      <c r="BB95" s="186"/>
      <c r="BC95" s="186"/>
    </row>
    <row r="96" spans="5:55" s="184" customFormat="1" x14ac:dyDescent="0.3">
      <c r="E96" s="288"/>
      <c r="N96" s="288"/>
      <c r="O96" s="288"/>
      <c r="AZ96" s="186"/>
      <c r="BA96" s="186"/>
      <c r="BB96" s="186"/>
      <c r="BC96" s="186"/>
    </row>
    <row r="97" spans="5:55" s="184" customFormat="1" x14ac:dyDescent="0.3">
      <c r="E97" s="288"/>
      <c r="N97" s="288"/>
      <c r="O97" s="288"/>
      <c r="AZ97" s="186"/>
      <c r="BA97" s="186"/>
      <c r="BB97" s="186"/>
      <c r="BC97" s="186"/>
    </row>
    <row r="98" spans="5:55" s="184" customFormat="1" x14ac:dyDescent="0.3">
      <c r="E98" s="288"/>
      <c r="N98" s="288"/>
      <c r="O98" s="288"/>
      <c r="AZ98" s="186"/>
      <c r="BA98" s="186"/>
      <c r="BB98" s="186"/>
      <c r="BC98" s="186"/>
    </row>
    <row r="99" spans="5:55" s="184" customFormat="1" x14ac:dyDescent="0.3">
      <c r="E99" s="288"/>
      <c r="N99" s="288"/>
      <c r="O99" s="288"/>
      <c r="AZ99" s="186"/>
      <c r="BA99" s="186"/>
      <c r="BB99" s="186"/>
      <c r="BC99" s="186"/>
    </row>
    <row r="100" spans="5:55" s="184" customFormat="1" x14ac:dyDescent="0.3">
      <c r="E100" s="288"/>
      <c r="N100" s="288"/>
      <c r="O100" s="288"/>
      <c r="AZ100" s="186"/>
      <c r="BA100" s="186"/>
      <c r="BB100" s="186"/>
      <c r="BC100" s="186"/>
    </row>
    <row r="101" spans="5:55" s="184" customFormat="1" x14ac:dyDescent="0.3">
      <c r="E101" s="288"/>
      <c r="N101" s="288"/>
      <c r="O101" s="288"/>
      <c r="AZ101" s="186"/>
      <c r="BA101" s="186"/>
      <c r="BB101" s="186"/>
      <c r="BC101" s="186"/>
    </row>
    <row r="102" spans="5:55" s="184" customFormat="1" x14ac:dyDescent="0.3">
      <c r="E102" s="288"/>
      <c r="N102" s="288"/>
      <c r="O102" s="288"/>
      <c r="AZ102" s="186"/>
      <c r="BA102" s="186"/>
      <c r="BB102" s="186"/>
      <c r="BC102" s="186"/>
    </row>
    <row r="103" spans="5:55" s="184" customFormat="1" x14ac:dyDescent="0.3">
      <c r="E103" s="288"/>
      <c r="N103" s="288"/>
      <c r="O103" s="288"/>
      <c r="AZ103" s="186"/>
      <c r="BA103" s="186"/>
      <c r="BB103" s="186"/>
      <c r="BC103" s="186"/>
    </row>
    <row r="104" spans="5:55" s="184" customFormat="1" x14ac:dyDescent="0.3">
      <c r="E104" s="288"/>
      <c r="N104" s="288"/>
      <c r="O104" s="288"/>
      <c r="AZ104" s="186"/>
      <c r="BA104" s="186"/>
      <c r="BB104" s="186"/>
      <c r="BC104" s="186"/>
    </row>
    <row r="105" spans="5:55" s="184" customFormat="1" x14ac:dyDescent="0.3">
      <c r="E105" s="288"/>
      <c r="N105" s="288"/>
      <c r="O105" s="288"/>
      <c r="AZ105" s="186"/>
      <c r="BA105" s="186"/>
      <c r="BB105" s="186"/>
      <c r="BC105" s="186"/>
    </row>
    <row r="106" spans="5:55" s="184" customFormat="1" x14ac:dyDescent="0.3">
      <c r="E106" s="288"/>
      <c r="N106" s="288"/>
      <c r="O106" s="288"/>
      <c r="AZ106" s="186"/>
      <c r="BA106" s="186"/>
      <c r="BB106" s="186"/>
      <c r="BC106" s="186"/>
    </row>
    <row r="107" spans="5:55" s="184" customFormat="1" x14ac:dyDescent="0.3">
      <c r="E107" s="288"/>
      <c r="N107" s="288"/>
      <c r="O107" s="288"/>
      <c r="AZ107" s="186"/>
      <c r="BA107" s="186"/>
      <c r="BB107" s="186"/>
      <c r="BC107" s="186"/>
    </row>
    <row r="108" spans="5:55" s="184" customFormat="1" x14ac:dyDescent="0.3">
      <c r="E108" s="288"/>
      <c r="N108" s="288"/>
      <c r="O108" s="288"/>
      <c r="AZ108" s="186"/>
      <c r="BA108" s="186"/>
      <c r="BB108" s="186"/>
      <c r="BC108" s="186"/>
    </row>
    <row r="109" spans="5:55" s="184" customFormat="1" x14ac:dyDescent="0.3">
      <c r="E109" s="288"/>
      <c r="N109" s="288"/>
      <c r="O109" s="288"/>
      <c r="AZ109" s="186"/>
      <c r="BA109" s="186"/>
      <c r="BB109" s="186"/>
      <c r="BC109" s="186"/>
    </row>
    <row r="110" spans="5:55" s="184" customFormat="1" x14ac:dyDescent="0.3">
      <c r="E110" s="288"/>
      <c r="N110" s="288"/>
      <c r="O110" s="288"/>
      <c r="AZ110" s="186"/>
      <c r="BA110" s="186"/>
      <c r="BB110" s="186"/>
      <c r="BC110" s="186"/>
    </row>
    <row r="111" spans="5:55" s="184" customFormat="1" x14ac:dyDescent="0.3">
      <c r="E111" s="288"/>
      <c r="N111" s="288"/>
      <c r="O111" s="288"/>
      <c r="AZ111" s="186"/>
      <c r="BA111" s="186"/>
      <c r="BB111" s="186"/>
      <c r="BC111" s="186"/>
    </row>
    <row r="112" spans="5:55" s="184" customFormat="1" x14ac:dyDescent="0.3">
      <c r="E112" s="288"/>
      <c r="N112" s="288"/>
      <c r="O112" s="288"/>
      <c r="AZ112" s="186"/>
      <c r="BA112" s="186"/>
      <c r="BB112" s="186"/>
      <c r="BC112" s="186"/>
    </row>
    <row r="113" spans="5:56" s="184" customFormat="1" x14ac:dyDescent="0.3">
      <c r="E113" s="288"/>
      <c r="N113" s="288"/>
      <c r="O113" s="288"/>
      <c r="AZ113" s="186"/>
      <c r="BA113" s="186"/>
      <c r="BB113" s="186"/>
      <c r="BC113" s="186"/>
    </row>
    <row r="114" spans="5:56" s="184" customFormat="1" x14ac:dyDescent="0.3">
      <c r="E114" s="288"/>
      <c r="N114" s="288"/>
      <c r="O114" s="288"/>
      <c r="AZ114" s="186"/>
      <c r="BA114" s="186"/>
      <c r="BB114" s="186"/>
      <c r="BC114" s="186"/>
    </row>
    <row r="115" spans="5:56" s="184" customFormat="1" x14ac:dyDescent="0.3">
      <c r="E115" s="288"/>
      <c r="N115" s="288"/>
      <c r="O115" s="288"/>
      <c r="AZ115" s="186"/>
      <c r="BA115" s="186"/>
      <c r="BB115" s="186"/>
      <c r="BC115" s="186"/>
    </row>
    <row r="116" spans="5:56" s="184" customFormat="1" x14ac:dyDescent="0.3">
      <c r="E116" s="288"/>
      <c r="N116" s="288"/>
      <c r="O116" s="288"/>
      <c r="AZ116" s="186"/>
      <c r="BA116" s="186"/>
      <c r="BB116" s="186"/>
      <c r="BC116" s="186"/>
    </row>
    <row r="117" spans="5:56" s="184" customFormat="1" x14ac:dyDescent="0.3">
      <c r="E117" s="288"/>
      <c r="N117" s="288"/>
      <c r="O117" s="288"/>
      <c r="AZ117" s="186"/>
      <c r="BA117" s="186"/>
      <c r="BB117" s="186"/>
      <c r="BC117" s="186"/>
    </row>
    <row r="118" spans="5:56" s="184" customFormat="1" x14ac:dyDescent="0.3">
      <c r="E118" s="288"/>
      <c r="N118" s="288"/>
      <c r="O118" s="288"/>
      <c r="AZ118" s="186"/>
      <c r="BA118" s="186"/>
      <c r="BB118" s="186"/>
      <c r="BC118" s="186"/>
    </row>
    <row r="119" spans="5:56" s="184" customFormat="1" x14ac:dyDescent="0.3">
      <c r="E119" s="288"/>
      <c r="N119" s="288"/>
      <c r="O119" s="288"/>
      <c r="AZ119" s="186"/>
      <c r="BA119" s="186"/>
      <c r="BB119" s="186"/>
      <c r="BC119" s="186"/>
    </row>
    <row r="120" spans="5:56" s="184" customFormat="1" x14ac:dyDescent="0.3">
      <c r="E120" s="288"/>
      <c r="N120" s="288"/>
      <c r="O120" s="288"/>
      <c r="AZ120" s="186"/>
      <c r="BA120" s="186"/>
      <c r="BB120" s="186"/>
      <c r="BC120" s="186"/>
    </row>
    <row r="121" spans="5:56" s="184" customFormat="1" x14ac:dyDescent="0.3">
      <c r="E121" s="288"/>
      <c r="N121" s="288"/>
      <c r="O121" s="288"/>
      <c r="AZ121" s="186"/>
      <c r="BA121" s="186"/>
      <c r="BB121" s="186"/>
      <c r="BC121" s="186"/>
    </row>
    <row r="122" spans="5:56" s="184" customFormat="1" x14ac:dyDescent="0.3">
      <c r="E122" s="288"/>
      <c r="N122" s="288"/>
      <c r="O122" s="288"/>
      <c r="AZ122" s="186"/>
      <c r="BA122" s="186"/>
      <c r="BB122" s="186"/>
      <c r="BC122" s="186"/>
    </row>
    <row r="123" spans="5:56" s="184" customFormat="1" x14ac:dyDescent="0.3">
      <c r="E123" s="288"/>
      <c r="N123" s="288"/>
      <c r="O123" s="288"/>
      <c r="AZ123" s="186"/>
      <c r="BA123" s="186"/>
      <c r="BB123" s="186"/>
      <c r="BC123" s="186"/>
    </row>
    <row r="124" spans="5:56" s="184" customFormat="1" x14ac:dyDescent="0.3">
      <c r="E124" s="288"/>
      <c r="F124" s="289"/>
      <c r="K124" s="289"/>
      <c r="N124" s="288"/>
      <c r="O124" s="288"/>
      <c r="P124" s="289"/>
      <c r="U124" s="289"/>
      <c r="Z124" s="289"/>
      <c r="AE124" s="289"/>
      <c r="AJ124" s="289"/>
      <c r="AO124" s="289"/>
      <c r="AT124" s="289"/>
      <c r="AY124" s="289"/>
      <c r="AZ124" s="186"/>
      <c r="BA124" s="186"/>
      <c r="BB124" s="186"/>
      <c r="BC124" s="186"/>
      <c r="BD124" s="289"/>
    </row>
    <row r="125" spans="5:56" s="184" customFormat="1" x14ac:dyDescent="0.3">
      <c r="E125" s="288"/>
      <c r="F125" s="289"/>
      <c r="K125" s="289"/>
      <c r="N125" s="288"/>
      <c r="O125" s="288"/>
      <c r="P125" s="289"/>
      <c r="U125" s="289"/>
      <c r="Z125" s="289"/>
      <c r="AE125" s="289"/>
      <c r="AJ125" s="289"/>
      <c r="AO125" s="289"/>
      <c r="AT125" s="289"/>
      <c r="AY125" s="289"/>
      <c r="AZ125" s="186"/>
      <c r="BA125" s="186"/>
      <c r="BB125" s="186"/>
      <c r="BC125" s="186"/>
      <c r="BD125" s="289"/>
    </row>
    <row r="126" spans="5:56" s="184" customFormat="1" x14ac:dyDescent="0.3">
      <c r="E126" s="288"/>
      <c r="F126" s="289"/>
      <c r="K126" s="289"/>
      <c r="N126" s="288"/>
      <c r="O126" s="288"/>
      <c r="P126" s="289"/>
      <c r="U126" s="289"/>
      <c r="Z126" s="289"/>
      <c r="AE126" s="289"/>
      <c r="AJ126" s="289"/>
      <c r="AO126" s="289"/>
      <c r="AT126" s="289"/>
      <c r="AY126" s="289"/>
      <c r="AZ126" s="186"/>
      <c r="BA126" s="186"/>
      <c r="BB126" s="186"/>
      <c r="BC126" s="186"/>
      <c r="BD126" s="289"/>
    </row>
    <row r="127" spans="5:56" s="184" customFormat="1" x14ac:dyDescent="0.3">
      <c r="E127" s="288"/>
      <c r="F127" s="289"/>
      <c r="K127" s="289"/>
      <c r="N127" s="288"/>
      <c r="O127" s="288"/>
      <c r="P127" s="289"/>
      <c r="U127" s="289"/>
      <c r="Z127" s="289"/>
      <c r="AE127" s="289"/>
      <c r="AJ127" s="289"/>
      <c r="AO127" s="289"/>
      <c r="AT127" s="289"/>
      <c r="AY127" s="289"/>
      <c r="AZ127" s="186"/>
      <c r="BA127" s="186"/>
      <c r="BB127" s="186"/>
      <c r="BC127" s="186"/>
      <c r="BD127" s="289"/>
    </row>
    <row r="128" spans="5:56" s="184" customFormat="1" x14ac:dyDescent="0.3">
      <c r="E128" s="288"/>
      <c r="F128" s="289"/>
      <c r="K128" s="289"/>
      <c r="N128" s="288"/>
      <c r="O128" s="288"/>
      <c r="P128" s="289"/>
      <c r="U128" s="289"/>
      <c r="Z128" s="289"/>
      <c r="AE128" s="289"/>
      <c r="AJ128" s="289"/>
      <c r="AO128" s="289"/>
      <c r="AT128" s="289"/>
      <c r="AY128" s="289"/>
      <c r="AZ128" s="186"/>
      <c r="BA128" s="186"/>
      <c r="BB128" s="186"/>
      <c r="BC128" s="186"/>
      <c r="BD128" s="289"/>
    </row>
    <row r="129" spans="5:56" s="184" customFormat="1" x14ac:dyDescent="0.3">
      <c r="E129" s="288"/>
      <c r="F129" s="289"/>
      <c r="K129" s="289"/>
      <c r="N129" s="288"/>
      <c r="O129" s="288"/>
      <c r="P129" s="289"/>
      <c r="U129" s="289"/>
      <c r="Z129" s="289"/>
      <c r="AE129" s="289"/>
      <c r="AJ129" s="289"/>
      <c r="AO129" s="289"/>
      <c r="AT129" s="289"/>
      <c r="AY129" s="289"/>
      <c r="AZ129" s="186"/>
      <c r="BA129" s="186"/>
      <c r="BB129" s="186"/>
      <c r="BC129" s="186"/>
      <c r="BD129" s="289"/>
    </row>
    <row r="130" spans="5:56" s="184" customFormat="1" x14ac:dyDescent="0.3">
      <c r="E130" s="288"/>
      <c r="F130" s="289"/>
      <c r="K130" s="289"/>
      <c r="N130" s="288"/>
      <c r="O130" s="288"/>
      <c r="P130" s="289"/>
      <c r="U130" s="289"/>
      <c r="Z130" s="289"/>
      <c r="AE130" s="289"/>
      <c r="AJ130" s="289"/>
      <c r="AO130" s="289"/>
      <c r="AT130" s="289"/>
      <c r="AY130" s="289"/>
      <c r="AZ130" s="186"/>
      <c r="BA130" s="186"/>
      <c r="BB130" s="186"/>
      <c r="BC130" s="186"/>
      <c r="BD130" s="289"/>
    </row>
    <row r="131" spans="5:56" s="184" customFormat="1" x14ac:dyDescent="0.3">
      <c r="E131" s="288"/>
      <c r="F131" s="289"/>
      <c r="K131" s="289"/>
      <c r="N131" s="288"/>
      <c r="O131" s="288"/>
      <c r="P131" s="289"/>
      <c r="U131" s="289"/>
      <c r="Z131" s="289"/>
      <c r="AE131" s="289"/>
      <c r="AJ131" s="289"/>
      <c r="AO131" s="289"/>
      <c r="AT131" s="289"/>
      <c r="AY131" s="289"/>
      <c r="AZ131" s="186"/>
      <c r="BA131" s="186"/>
      <c r="BB131" s="186"/>
      <c r="BC131" s="186"/>
      <c r="BD131" s="289"/>
    </row>
    <row r="132" spans="5:56" s="184" customFormat="1" x14ac:dyDescent="0.3">
      <c r="E132" s="288"/>
      <c r="F132" s="289"/>
      <c r="K132" s="289"/>
      <c r="N132" s="288"/>
      <c r="O132" s="288"/>
      <c r="P132" s="289"/>
      <c r="U132" s="289"/>
      <c r="Z132" s="289"/>
      <c r="AE132" s="289"/>
      <c r="AJ132" s="289"/>
      <c r="AO132" s="289"/>
      <c r="AT132" s="289"/>
      <c r="AY132" s="289"/>
      <c r="AZ132" s="186"/>
      <c r="BA132" s="186"/>
      <c r="BB132" s="186"/>
      <c r="BC132" s="186"/>
      <c r="BD132" s="289"/>
    </row>
    <row r="133" spans="5:56" s="184" customFormat="1" x14ac:dyDescent="0.3">
      <c r="E133" s="288"/>
      <c r="F133" s="289"/>
      <c r="K133" s="289"/>
      <c r="N133" s="288"/>
      <c r="O133" s="288"/>
      <c r="P133" s="289"/>
      <c r="U133" s="289"/>
      <c r="Z133" s="289"/>
      <c r="AE133" s="289"/>
      <c r="AJ133" s="289"/>
      <c r="AO133" s="289"/>
      <c r="AT133" s="289"/>
      <c r="AY133" s="289"/>
      <c r="AZ133" s="186"/>
      <c r="BA133" s="186"/>
      <c r="BB133" s="186"/>
      <c r="BC133" s="186"/>
      <c r="BD133" s="289"/>
    </row>
    <row r="134" spans="5:56" s="184" customFormat="1" x14ac:dyDescent="0.3">
      <c r="E134" s="288"/>
      <c r="F134" s="289"/>
      <c r="K134" s="289"/>
      <c r="N134" s="288"/>
      <c r="O134" s="288"/>
      <c r="P134" s="289"/>
      <c r="U134" s="289"/>
      <c r="Z134" s="289"/>
      <c r="AE134" s="289"/>
      <c r="AJ134" s="289"/>
      <c r="AO134" s="289"/>
      <c r="AT134" s="289"/>
      <c r="AY134" s="289"/>
      <c r="AZ134" s="186"/>
      <c r="BA134" s="186"/>
      <c r="BB134" s="186"/>
      <c r="BC134" s="186"/>
      <c r="BD134" s="289"/>
    </row>
    <row r="135" spans="5:56" s="184" customFormat="1" x14ac:dyDescent="0.3">
      <c r="E135" s="288"/>
      <c r="F135" s="289"/>
      <c r="K135" s="289"/>
      <c r="N135" s="288"/>
      <c r="O135" s="288"/>
      <c r="P135" s="289"/>
      <c r="U135" s="289"/>
      <c r="Z135" s="289"/>
      <c r="AE135" s="289"/>
      <c r="AJ135" s="289"/>
      <c r="AO135" s="289"/>
      <c r="AT135" s="289"/>
      <c r="AY135" s="289"/>
      <c r="AZ135" s="186"/>
      <c r="BA135" s="186"/>
      <c r="BB135" s="186"/>
      <c r="BC135" s="186"/>
      <c r="BD135" s="289"/>
    </row>
    <row r="136" spans="5:56" s="184" customFormat="1" x14ac:dyDescent="0.3">
      <c r="E136" s="288"/>
      <c r="F136" s="289"/>
      <c r="K136" s="289"/>
      <c r="N136" s="288"/>
      <c r="O136" s="288"/>
      <c r="P136" s="289"/>
      <c r="U136" s="289"/>
      <c r="Z136" s="289"/>
      <c r="AE136" s="289"/>
      <c r="AJ136" s="289"/>
      <c r="AO136" s="289"/>
      <c r="AT136" s="289"/>
      <c r="AY136" s="289"/>
      <c r="AZ136" s="186"/>
      <c r="BA136" s="186"/>
      <c r="BB136" s="186"/>
      <c r="BC136" s="186"/>
      <c r="BD136" s="289"/>
    </row>
    <row r="137" spans="5:56" s="184" customFormat="1" x14ac:dyDescent="0.3">
      <c r="E137" s="288"/>
      <c r="F137" s="289"/>
      <c r="K137" s="289"/>
      <c r="N137" s="288"/>
      <c r="O137" s="288"/>
      <c r="P137" s="289"/>
      <c r="U137" s="289"/>
      <c r="Z137" s="289"/>
      <c r="AE137" s="289"/>
      <c r="AJ137" s="289"/>
      <c r="AO137" s="289"/>
      <c r="AT137" s="289"/>
      <c r="AY137" s="289"/>
      <c r="AZ137" s="186"/>
      <c r="BA137" s="186"/>
      <c r="BB137" s="186"/>
      <c r="BC137" s="186"/>
      <c r="BD137" s="289"/>
    </row>
    <row r="138" spans="5:56" s="184" customFormat="1" x14ac:dyDescent="0.3">
      <c r="E138" s="288"/>
      <c r="F138" s="289"/>
      <c r="K138" s="289"/>
      <c r="N138" s="288"/>
      <c r="O138" s="288"/>
      <c r="P138" s="289"/>
      <c r="U138" s="289"/>
      <c r="Z138" s="289"/>
      <c r="AE138" s="289"/>
      <c r="AJ138" s="289"/>
      <c r="AO138" s="289"/>
      <c r="AT138" s="289"/>
      <c r="AY138" s="289"/>
      <c r="AZ138" s="186"/>
      <c r="BA138" s="186"/>
      <c r="BB138" s="186"/>
      <c r="BC138" s="186"/>
      <c r="BD138" s="289"/>
    </row>
    <row r="139" spans="5:56" s="184" customFormat="1" x14ac:dyDescent="0.3">
      <c r="E139" s="288"/>
      <c r="F139" s="289"/>
      <c r="K139" s="289"/>
      <c r="N139" s="288"/>
      <c r="O139" s="288"/>
      <c r="P139" s="289"/>
      <c r="U139" s="289"/>
      <c r="Z139" s="289"/>
      <c r="AE139" s="289"/>
      <c r="AJ139" s="289"/>
      <c r="AO139" s="289"/>
      <c r="AT139" s="289"/>
      <c r="AY139" s="289"/>
      <c r="AZ139" s="186"/>
      <c r="BA139" s="186"/>
      <c r="BB139" s="186"/>
      <c r="BC139" s="186"/>
      <c r="BD139" s="289"/>
    </row>
    <row r="140" spans="5:56" s="184" customFormat="1" x14ac:dyDescent="0.3">
      <c r="E140" s="288"/>
      <c r="F140" s="289"/>
      <c r="K140" s="289"/>
      <c r="N140" s="288"/>
      <c r="O140" s="288"/>
      <c r="P140" s="289"/>
      <c r="U140" s="289"/>
      <c r="Z140" s="289"/>
      <c r="AE140" s="289"/>
      <c r="AJ140" s="289"/>
      <c r="AO140" s="289"/>
      <c r="AT140" s="289"/>
      <c r="AY140" s="289"/>
      <c r="AZ140" s="186"/>
      <c r="BA140" s="186"/>
      <c r="BB140" s="186"/>
      <c r="BC140" s="186"/>
      <c r="BD140" s="289"/>
    </row>
    <row r="141" spans="5:56" s="184" customFormat="1" x14ac:dyDescent="0.3">
      <c r="E141" s="288"/>
      <c r="F141" s="289"/>
      <c r="K141" s="289"/>
      <c r="N141" s="288"/>
      <c r="O141" s="288"/>
      <c r="P141" s="289"/>
      <c r="U141" s="289"/>
      <c r="Z141" s="289"/>
      <c r="AE141" s="289"/>
      <c r="AJ141" s="289"/>
      <c r="AO141" s="289"/>
      <c r="AT141" s="289"/>
      <c r="AY141" s="289"/>
      <c r="AZ141" s="186"/>
      <c r="BA141" s="186"/>
      <c r="BB141" s="186"/>
      <c r="BC141" s="186"/>
      <c r="BD141" s="289"/>
    </row>
    <row r="142" spans="5:56" s="184" customFormat="1" x14ac:dyDescent="0.3">
      <c r="E142" s="288"/>
      <c r="F142" s="289"/>
      <c r="K142" s="289"/>
      <c r="N142" s="288"/>
      <c r="O142" s="288"/>
      <c r="P142" s="289"/>
      <c r="U142" s="289"/>
      <c r="Z142" s="289"/>
      <c r="AE142" s="289"/>
      <c r="AJ142" s="289"/>
      <c r="AO142" s="289"/>
      <c r="AT142" s="289"/>
      <c r="AY142" s="289"/>
      <c r="AZ142" s="186"/>
      <c r="BA142" s="186"/>
      <c r="BB142" s="186"/>
      <c r="BC142" s="186"/>
      <c r="BD142" s="289"/>
    </row>
    <row r="143" spans="5:56" s="184" customFormat="1" x14ac:dyDescent="0.3">
      <c r="E143" s="288"/>
      <c r="F143" s="289"/>
      <c r="K143" s="289"/>
      <c r="N143" s="288"/>
      <c r="O143" s="288"/>
      <c r="P143" s="289"/>
      <c r="U143" s="289"/>
      <c r="Z143" s="289"/>
      <c r="AE143" s="289"/>
      <c r="AJ143" s="289"/>
      <c r="AO143" s="289"/>
      <c r="AT143" s="289"/>
      <c r="AY143" s="289"/>
      <c r="AZ143" s="186"/>
      <c r="BA143" s="186"/>
      <c r="BB143" s="186"/>
      <c r="BC143" s="186"/>
      <c r="BD143" s="289"/>
    </row>
    <row r="144" spans="5:56" s="184" customFormat="1" x14ac:dyDescent="0.3">
      <c r="E144" s="288"/>
      <c r="F144" s="289"/>
      <c r="K144" s="289"/>
      <c r="N144" s="288"/>
      <c r="O144" s="288"/>
      <c r="P144" s="289"/>
      <c r="U144" s="289"/>
      <c r="Z144" s="289"/>
      <c r="AE144" s="289"/>
      <c r="AJ144" s="289"/>
      <c r="AO144" s="289"/>
      <c r="AT144" s="289"/>
      <c r="AY144" s="289"/>
      <c r="AZ144" s="186"/>
      <c r="BA144" s="186"/>
      <c r="BB144" s="186"/>
      <c r="BC144" s="186"/>
      <c r="BD144" s="289"/>
    </row>
    <row r="145" spans="5:56" s="184" customFormat="1" x14ac:dyDescent="0.3">
      <c r="E145" s="288"/>
      <c r="F145" s="289"/>
      <c r="K145" s="289"/>
      <c r="N145" s="288"/>
      <c r="O145" s="288"/>
      <c r="P145" s="289"/>
      <c r="U145" s="289"/>
      <c r="Z145" s="289"/>
      <c r="AE145" s="289"/>
      <c r="AJ145" s="289"/>
      <c r="AO145" s="289"/>
      <c r="AT145" s="289"/>
      <c r="AY145" s="289"/>
      <c r="AZ145" s="186"/>
      <c r="BA145" s="186"/>
      <c r="BB145" s="186"/>
      <c r="BC145" s="186"/>
      <c r="BD145" s="289"/>
    </row>
    <row r="146" spans="5:56" s="184" customFormat="1" x14ac:dyDescent="0.3">
      <c r="E146" s="288"/>
      <c r="F146" s="289"/>
      <c r="K146" s="289"/>
      <c r="N146" s="288"/>
      <c r="O146" s="288"/>
      <c r="P146" s="289"/>
      <c r="U146" s="289"/>
      <c r="Z146" s="289"/>
      <c r="AE146" s="289"/>
      <c r="AJ146" s="289"/>
      <c r="AO146" s="289"/>
      <c r="AT146" s="289"/>
      <c r="AY146" s="289"/>
      <c r="AZ146" s="186"/>
      <c r="BA146" s="186"/>
      <c r="BB146" s="186"/>
      <c r="BC146" s="186"/>
      <c r="BD146" s="289"/>
    </row>
    <row r="147" spans="5:56" s="184" customFormat="1" x14ac:dyDescent="0.3">
      <c r="E147" s="288"/>
      <c r="F147" s="289"/>
      <c r="K147" s="289"/>
      <c r="N147" s="288"/>
      <c r="O147" s="288"/>
      <c r="P147" s="289"/>
      <c r="U147" s="289"/>
      <c r="Z147" s="289"/>
      <c r="AE147" s="289"/>
      <c r="AJ147" s="289"/>
      <c r="AO147" s="289"/>
      <c r="AT147" s="289"/>
      <c r="AY147" s="289"/>
      <c r="AZ147" s="186"/>
      <c r="BA147" s="186"/>
      <c r="BB147" s="186"/>
      <c r="BC147" s="186"/>
      <c r="BD147" s="289"/>
    </row>
    <row r="148" spans="5:56" s="184" customFormat="1" x14ac:dyDescent="0.3">
      <c r="E148" s="288"/>
      <c r="F148" s="289"/>
      <c r="K148" s="289"/>
      <c r="N148" s="288"/>
      <c r="O148" s="288"/>
      <c r="P148" s="289"/>
      <c r="U148" s="289"/>
      <c r="Z148" s="289"/>
      <c r="AE148" s="289"/>
      <c r="AJ148" s="289"/>
      <c r="AO148" s="289"/>
      <c r="AT148" s="289"/>
      <c r="AY148" s="289"/>
      <c r="AZ148" s="186"/>
      <c r="BA148" s="186"/>
      <c r="BB148" s="186"/>
      <c r="BC148" s="186"/>
      <c r="BD148" s="289"/>
    </row>
    <row r="149" spans="5:56" s="184" customFormat="1" x14ac:dyDescent="0.3">
      <c r="E149" s="288"/>
      <c r="F149" s="289"/>
      <c r="K149" s="289"/>
      <c r="N149" s="288"/>
      <c r="O149" s="288"/>
      <c r="P149" s="289"/>
      <c r="U149" s="289"/>
      <c r="Z149" s="289"/>
      <c r="AE149" s="289"/>
      <c r="AJ149" s="289"/>
      <c r="AO149" s="289"/>
      <c r="AT149" s="289"/>
      <c r="AY149" s="289"/>
      <c r="AZ149" s="186"/>
      <c r="BA149" s="186"/>
      <c r="BB149" s="186"/>
      <c r="BC149" s="186"/>
      <c r="BD149" s="289"/>
    </row>
    <row r="150" spans="5:56" s="184" customFormat="1" x14ac:dyDescent="0.3">
      <c r="E150" s="288"/>
      <c r="F150" s="289"/>
      <c r="K150" s="289"/>
      <c r="N150" s="288"/>
      <c r="O150" s="288"/>
      <c r="P150" s="289"/>
      <c r="U150" s="289"/>
      <c r="Z150" s="289"/>
      <c r="AE150" s="289"/>
      <c r="AJ150" s="289"/>
      <c r="AO150" s="289"/>
      <c r="AT150" s="289"/>
      <c r="AY150" s="289"/>
      <c r="AZ150" s="186"/>
      <c r="BA150" s="186"/>
      <c r="BB150" s="186"/>
      <c r="BC150" s="186"/>
      <c r="BD150" s="289"/>
    </row>
    <row r="151" spans="5:56" s="184" customFormat="1" x14ac:dyDescent="0.3">
      <c r="E151" s="288"/>
      <c r="F151" s="289"/>
      <c r="K151" s="289"/>
      <c r="N151" s="288"/>
      <c r="O151" s="288"/>
      <c r="P151" s="289"/>
      <c r="U151" s="289"/>
      <c r="Z151" s="289"/>
      <c r="AE151" s="289"/>
      <c r="AJ151" s="289"/>
      <c r="AO151" s="289"/>
      <c r="AT151" s="289"/>
      <c r="AY151" s="289"/>
      <c r="AZ151" s="186"/>
      <c r="BA151" s="186"/>
      <c r="BB151" s="186"/>
      <c r="BC151" s="186"/>
      <c r="BD151" s="289"/>
    </row>
    <row r="152" spans="5:56" s="184" customFormat="1" x14ac:dyDescent="0.3">
      <c r="E152" s="288"/>
      <c r="F152" s="289"/>
      <c r="K152" s="289"/>
      <c r="N152" s="288"/>
      <c r="O152" s="288"/>
      <c r="P152" s="289"/>
      <c r="U152" s="289"/>
      <c r="Z152" s="289"/>
      <c r="AE152" s="289"/>
      <c r="AJ152" s="289"/>
      <c r="AO152" s="289"/>
      <c r="AT152" s="289"/>
      <c r="AY152" s="289"/>
      <c r="AZ152" s="186"/>
      <c r="BA152" s="186"/>
      <c r="BB152" s="186"/>
      <c r="BC152" s="186"/>
      <c r="BD152" s="289"/>
    </row>
    <row r="153" spans="5:56" s="184" customFormat="1" x14ac:dyDescent="0.3">
      <c r="E153" s="288"/>
      <c r="F153" s="289"/>
      <c r="K153" s="289"/>
      <c r="N153" s="288"/>
      <c r="O153" s="288"/>
      <c r="P153" s="289"/>
      <c r="U153" s="289"/>
      <c r="Z153" s="289"/>
      <c r="AE153" s="289"/>
      <c r="AJ153" s="289"/>
      <c r="AO153" s="289"/>
      <c r="AT153" s="289"/>
      <c r="AY153" s="289"/>
      <c r="AZ153" s="186"/>
      <c r="BA153" s="186"/>
      <c r="BB153" s="186"/>
      <c r="BC153" s="186"/>
      <c r="BD153" s="289"/>
    </row>
    <row r="154" spans="5:56" s="184" customFormat="1" x14ac:dyDescent="0.3">
      <c r="E154" s="288"/>
      <c r="F154" s="289"/>
      <c r="K154" s="289"/>
      <c r="N154" s="288"/>
      <c r="O154" s="288"/>
      <c r="P154" s="289"/>
      <c r="U154" s="289"/>
      <c r="Z154" s="289"/>
      <c r="AE154" s="289"/>
      <c r="AJ154" s="289"/>
      <c r="AO154" s="289"/>
      <c r="AT154" s="289"/>
      <c r="AY154" s="289"/>
      <c r="AZ154" s="186"/>
      <c r="BA154" s="186"/>
      <c r="BB154" s="186"/>
      <c r="BC154" s="186"/>
      <c r="BD154" s="289"/>
    </row>
    <row r="155" spans="5:56" s="184" customFormat="1" x14ac:dyDescent="0.3">
      <c r="E155" s="288"/>
      <c r="F155" s="289"/>
      <c r="K155" s="289"/>
      <c r="N155" s="288"/>
      <c r="O155" s="288"/>
      <c r="P155" s="289"/>
      <c r="U155" s="289"/>
      <c r="Z155" s="289"/>
      <c r="AE155" s="289"/>
      <c r="AJ155" s="289"/>
      <c r="AO155" s="289"/>
      <c r="AT155" s="289"/>
      <c r="AY155" s="289"/>
      <c r="AZ155" s="186"/>
      <c r="BA155" s="186"/>
      <c r="BB155" s="186"/>
      <c r="BC155" s="186"/>
      <c r="BD155" s="289"/>
    </row>
    <row r="156" spans="5:56" s="184" customFormat="1" x14ac:dyDescent="0.3">
      <c r="E156" s="288"/>
      <c r="F156" s="289"/>
      <c r="K156" s="289"/>
      <c r="N156" s="288"/>
      <c r="O156" s="288"/>
      <c r="P156" s="289"/>
      <c r="U156" s="289"/>
      <c r="Z156" s="289"/>
      <c r="AE156" s="289"/>
      <c r="AJ156" s="289"/>
      <c r="AO156" s="289"/>
      <c r="AT156" s="289"/>
      <c r="AY156" s="289"/>
      <c r="AZ156" s="186"/>
      <c r="BA156" s="186"/>
      <c r="BB156" s="186"/>
      <c r="BC156" s="186"/>
      <c r="BD156" s="289"/>
    </row>
    <row r="157" spans="5:56" s="184" customFormat="1" x14ac:dyDescent="0.3">
      <c r="E157" s="288"/>
      <c r="F157" s="289"/>
      <c r="K157" s="289"/>
      <c r="N157" s="288"/>
      <c r="O157" s="288"/>
      <c r="P157" s="289"/>
      <c r="U157" s="289"/>
      <c r="Z157" s="289"/>
      <c r="AE157" s="289"/>
      <c r="AJ157" s="289"/>
      <c r="AO157" s="289"/>
      <c r="AT157" s="289"/>
      <c r="AY157" s="289"/>
      <c r="AZ157" s="186"/>
      <c r="BA157" s="186"/>
      <c r="BB157" s="186"/>
      <c r="BC157" s="186"/>
      <c r="BD157" s="289"/>
    </row>
    <row r="158" spans="5:56" s="184" customFormat="1" x14ac:dyDescent="0.3">
      <c r="E158" s="288"/>
      <c r="F158" s="289"/>
      <c r="K158" s="289"/>
      <c r="N158" s="288"/>
      <c r="O158" s="288"/>
      <c r="P158" s="289"/>
      <c r="U158" s="289"/>
      <c r="Z158" s="289"/>
      <c r="AE158" s="289"/>
      <c r="AJ158" s="289"/>
      <c r="AO158" s="289"/>
      <c r="AT158" s="289"/>
      <c r="AY158" s="289"/>
      <c r="AZ158" s="186"/>
      <c r="BA158" s="186"/>
      <c r="BB158" s="186"/>
      <c r="BC158" s="186"/>
      <c r="BD158" s="289"/>
    </row>
    <row r="159" spans="5:56" s="184" customFormat="1" x14ac:dyDescent="0.3">
      <c r="E159" s="288"/>
      <c r="F159" s="289"/>
      <c r="K159" s="289"/>
      <c r="N159" s="288"/>
      <c r="O159" s="288"/>
      <c r="P159" s="289"/>
      <c r="U159" s="289"/>
      <c r="Z159" s="289"/>
      <c r="AE159" s="289"/>
      <c r="AJ159" s="289"/>
      <c r="AO159" s="289"/>
      <c r="AT159" s="289"/>
      <c r="AY159" s="289"/>
      <c r="AZ159" s="186"/>
      <c r="BA159" s="186"/>
      <c r="BB159" s="186"/>
      <c r="BC159" s="186"/>
      <c r="BD159" s="289"/>
    </row>
    <row r="160" spans="5:56" s="184" customFormat="1" x14ac:dyDescent="0.3">
      <c r="E160" s="288"/>
      <c r="F160" s="289"/>
      <c r="K160" s="289"/>
      <c r="N160" s="288"/>
      <c r="O160" s="288"/>
      <c r="P160" s="289"/>
      <c r="U160" s="289"/>
      <c r="Z160" s="289"/>
      <c r="AE160" s="289"/>
      <c r="AJ160" s="289"/>
      <c r="AO160" s="289"/>
      <c r="AT160" s="289"/>
      <c r="AY160" s="289"/>
      <c r="AZ160" s="186"/>
      <c r="BA160" s="186"/>
      <c r="BB160" s="186"/>
      <c r="BC160" s="186"/>
      <c r="BD160" s="289"/>
    </row>
    <row r="161" spans="5:56" s="184" customFormat="1" x14ac:dyDescent="0.3">
      <c r="E161" s="288"/>
      <c r="F161" s="289"/>
      <c r="K161" s="289"/>
      <c r="N161" s="288"/>
      <c r="O161" s="288"/>
      <c r="P161" s="289"/>
      <c r="U161" s="289"/>
      <c r="Z161" s="289"/>
      <c r="AE161" s="289"/>
      <c r="AJ161" s="289"/>
      <c r="AO161" s="289"/>
      <c r="AT161" s="289"/>
      <c r="AY161" s="289"/>
      <c r="AZ161" s="186"/>
      <c r="BA161" s="186"/>
      <c r="BB161" s="186"/>
      <c r="BC161" s="186"/>
      <c r="BD161" s="289"/>
    </row>
    <row r="162" spans="5:56" s="184" customFormat="1" x14ac:dyDescent="0.3">
      <c r="E162" s="288"/>
      <c r="F162" s="289"/>
      <c r="K162" s="289"/>
      <c r="N162" s="288"/>
      <c r="O162" s="288"/>
      <c r="P162" s="289"/>
      <c r="U162" s="289"/>
      <c r="Z162" s="289"/>
      <c r="AE162" s="289"/>
      <c r="AJ162" s="289"/>
      <c r="AO162" s="289"/>
      <c r="AT162" s="289"/>
      <c r="AY162" s="289"/>
      <c r="AZ162" s="186"/>
      <c r="BA162" s="186"/>
      <c r="BB162" s="186"/>
      <c r="BC162" s="186"/>
      <c r="BD162" s="289"/>
    </row>
    <row r="163" spans="5:56" s="184" customFormat="1" x14ac:dyDescent="0.3">
      <c r="E163" s="288"/>
      <c r="F163" s="289"/>
      <c r="K163" s="289"/>
      <c r="N163" s="288"/>
      <c r="O163" s="288"/>
      <c r="P163" s="289"/>
      <c r="U163" s="289"/>
      <c r="Z163" s="289"/>
      <c r="AE163" s="289"/>
      <c r="AJ163" s="289"/>
      <c r="AO163" s="289"/>
      <c r="AT163" s="289"/>
      <c r="AY163" s="289"/>
      <c r="AZ163" s="186"/>
      <c r="BA163" s="186"/>
      <c r="BB163" s="186"/>
      <c r="BC163" s="186"/>
      <c r="BD163" s="289"/>
    </row>
    <row r="164" spans="5:56" s="184" customFormat="1" x14ac:dyDescent="0.3">
      <c r="E164" s="288"/>
      <c r="F164" s="289"/>
      <c r="K164" s="289"/>
      <c r="N164" s="288"/>
      <c r="O164" s="288"/>
      <c r="P164" s="289"/>
      <c r="U164" s="289"/>
      <c r="Z164" s="289"/>
      <c r="AE164" s="289"/>
      <c r="AJ164" s="289"/>
      <c r="AO164" s="289"/>
      <c r="AT164" s="289"/>
      <c r="AY164" s="289"/>
      <c r="AZ164" s="186"/>
      <c r="BA164" s="186"/>
      <c r="BB164" s="186"/>
      <c r="BC164" s="186"/>
      <c r="BD164" s="289"/>
    </row>
    <row r="165" spans="5:56" s="184" customFormat="1" x14ac:dyDescent="0.3">
      <c r="E165" s="288"/>
      <c r="F165" s="289"/>
      <c r="K165" s="289"/>
      <c r="N165" s="288"/>
      <c r="O165" s="288"/>
      <c r="P165" s="289"/>
      <c r="U165" s="289"/>
      <c r="Z165" s="289"/>
      <c r="AE165" s="289"/>
      <c r="AJ165" s="289"/>
      <c r="AO165" s="289"/>
      <c r="AT165" s="289"/>
      <c r="AY165" s="289"/>
      <c r="AZ165" s="186"/>
      <c r="BA165" s="186"/>
      <c r="BB165" s="186"/>
      <c r="BC165" s="186"/>
      <c r="BD165" s="289"/>
    </row>
    <row r="166" spans="5:56" s="184" customFormat="1" x14ac:dyDescent="0.3">
      <c r="E166" s="288"/>
      <c r="F166" s="289"/>
      <c r="K166" s="289"/>
      <c r="N166" s="288"/>
      <c r="O166" s="288"/>
      <c r="P166" s="289"/>
      <c r="U166" s="289"/>
      <c r="Z166" s="289"/>
      <c r="AE166" s="289"/>
      <c r="AJ166" s="289"/>
      <c r="AO166" s="289"/>
      <c r="AT166" s="289"/>
      <c r="AY166" s="289"/>
      <c r="AZ166" s="186"/>
      <c r="BA166" s="186"/>
      <c r="BB166" s="186"/>
      <c r="BC166" s="186"/>
      <c r="BD166" s="289"/>
    </row>
    <row r="167" spans="5:56" s="184" customFormat="1" x14ac:dyDescent="0.3">
      <c r="E167" s="288"/>
      <c r="F167" s="289"/>
      <c r="K167" s="289"/>
      <c r="N167" s="288"/>
      <c r="O167" s="288"/>
      <c r="P167" s="289"/>
      <c r="U167" s="289"/>
      <c r="Z167" s="289"/>
      <c r="AE167" s="289"/>
      <c r="AJ167" s="289"/>
      <c r="AO167" s="289"/>
      <c r="AT167" s="289"/>
      <c r="AY167" s="289"/>
      <c r="AZ167" s="186"/>
      <c r="BA167" s="186"/>
      <c r="BB167" s="186"/>
      <c r="BC167" s="186"/>
      <c r="BD167" s="289"/>
    </row>
    <row r="168" spans="5:56" s="184" customFormat="1" x14ac:dyDescent="0.3">
      <c r="E168" s="288"/>
      <c r="F168" s="289"/>
      <c r="K168" s="289"/>
      <c r="N168" s="288"/>
      <c r="O168" s="288"/>
      <c r="P168" s="289"/>
      <c r="U168" s="289"/>
      <c r="Z168" s="289"/>
      <c r="AE168" s="289"/>
      <c r="AJ168" s="289"/>
      <c r="AO168" s="289"/>
      <c r="AT168" s="289"/>
      <c r="AY168" s="289"/>
      <c r="AZ168" s="186"/>
      <c r="BA168" s="186"/>
      <c r="BB168" s="186"/>
      <c r="BC168" s="186"/>
      <c r="BD168" s="289"/>
    </row>
    <row r="169" spans="5:56" s="184" customFormat="1" x14ac:dyDescent="0.3">
      <c r="E169" s="288"/>
      <c r="F169" s="289"/>
      <c r="K169" s="289"/>
      <c r="N169" s="288"/>
      <c r="O169" s="288"/>
      <c r="P169" s="289"/>
      <c r="U169" s="289"/>
      <c r="Z169" s="289"/>
      <c r="AE169" s="289"/>
      <c r="AJ169" s="289"/>
      <c r="AO169" s="289"/>
      <c r="AT169" s="289"/>
      <c r="AY169" s="289"/>
      <c r="AZ169" s="186"/>
      <c r="BA169" s="186"/>
      <c r="BB169" s="186"/>
      <c r="BC169" s="186"/>
      <c r="BD169" s="289"/>
    </row>
    <row r="170" spans="5:56" s="184" customFormat="1" x14ac:dyDescent="0.3">
      <c r="E170" s="288"/>
      <c r="F170" s="289"/>
      <c r="K170" s="289"/>
      <c r="N170" s="288"/>
      <c r="O170" s="288"/>
      <c r="P170" s="289"/>
      <c r="U170" s="289"/>
      <c r="Z170" s="289"/>
      <c r="AE170" s="289"/>
      <c r="AJ170" s="289"/>
      <c r="AO170" s="289"/>
      <c r="AT170" s="289"/>
      <c r="AY170" s="289"/>
      <c r="AZ170" s="186"/>
      <c r="BA170" s="186"/>
      <c r="BB170" s="186"/>
      <c r="BC170" s="186"/>
      <c r="BD170" s="289"/>
    </row>
    <row r="171" spans="5:56" s="184" customFormat="1" x14ac:dyDescent="0.3">
      <c r="E171" s="288"/>
      <c r="F171" s="289"/>
      <c r="K171" s="289"/>
      <c r="N171" s="288"/>
      <c r="O171" s="288"/>
      <c r="P171" s="289"/>
      <c r="U171" s="289"/>
      <c r="Z171" s="289"/>
      <c r="AE171" s="289"/>
      <c r="AJ171" s="289"/>
      <c r="AO171" s="289"/>
      <c r="AT171" s="289"/>
      <c r="AY171" s="289"/>
      <c r="AZ171" s="186"/>
      <c r="BA171" s="186"/>
      <c r="BB171" s="186"/>
      <c r="BC171" s="186"/>
      <c r="BD171" s="289"/>
    </row>
    <row r="172" spans="5:56" s="184" customFormat="1" x14ac:dyDescent="0.3">
      <c r="E172" s="288"/>
      <c r="F172" s="289"/>
      <c r="K172" s="289"/>
      <c r="N172" s="288"/>
      <c r="O172" s="288"/>
      <c r="P172" s="289"/>
      <c r="U172" s="289"/>
      <c r="Z172" s="289"/>
      <c r="AE172" s="289"/>
      <c r="AJ172" s="289"/>
      <c r="AO172" s="289"/>
      <c r="AT172" s="289"/>
      <c r="AY172" s="289"/>
      <c r="AZ172" s="186"/>
      <c r="BA172" s="186"/>
      <c r="BB172" s="186"/>
      <c r="BC172" s="186"/>
      <c r="BD172" s="289"/>
    </row>
    <row r="173" spans="5:56" s="184" customFormat="1" x14ac:dyDescent="0.3">
      <c r="E173" s="288"/>
      <c r="F173" s="289"/>
      <c r="K173" s="289"/>
      <c r="N173" s="288"/>
      <c r="O173" s="288"/>
      <c r="P173" s="289"/>
      <c r="U173" s="289"/>
      <c r="Z173" s="289"/>
      <c r="AE173" s="289"/>
      <c r="AJ173" s="289"/>
      <c r="AO173" s="289"/>
      <c r="AT173" s="289"/>
      <c r="AY173" s="289"/>
      <c r="AZ173" s="186"/>
      <c r="BA173" s="186"/>
      <c r="BB173" s="186"/>
      <c r="BC173" s="186"/>
      <c r="BD173" s="289"/>
    </row>
    <row r="174" spans="5:56" s="184" customFormat="1" x14ac:dyDescent="0.3">
      <c r="E174" s="288"/>
      <c r="F174" s="289"/>
      <c r="K174" s="289"/>
      <c r="N174" s="288"/>
      <c r="O174" s="288"/>
      <c r="P174" s="289"/>
      <c r="U174" s="289"/>
      <c r="Z174" s="289"/>
      <c r="AE174" s="289"/>
      <c r="AJ174" s="289"/>
      <c r="AO174" s="289"/>
      <c r="AT174" s="289"/>
      <c r="AY174" s="289"/>
      <c r="AZ174" s="186"/>
      <c r="BA174" s="186"/>
      <c r="BB174" s="186"/>
      <c r="BC174" s="186"/>
      <c r="BD174" s="289"/>
    </row>
    <row r="175" spans="5:56" s="184" customFormat="1" x14ac:dyDescent="0.3">
      <c r="E175" s="288"/>
      <c r="F175" s="289"/>
      <c r="K175" s="289"/>
      <c r="N175" s="288"/>
      <c r="O175" s="288"/>
      <c r="P175" s="289"/>
      <c r="U175" s="289"/>
      <c r="Z175" s="289"/>
      <c r="AE175" s="289"/>
      <c r="AJ175" s="289"/>
      <c r="AO175" s="289"/>
      <c r="AT175" s="289"/>
      <c r="AY175" s="289"/>
      <c r="AZ175" s="186"/>
      <c r="BA175" s="186"/>
      <c r="BB175" s="186"/>
      <c r="BC175" s="186"/>
      <c r="BD175" s="289"/>
    </row>
    <row r="176" spans="5:56" s="184" customFormat="1" x14ac:dyDescent="0.3">
      <c r="E176" s="288"/>
      <c r="F176" s="289"/>
      <c r="K176" s="289"/>
      <c r="N176" s="288"/>
      <c r="O176" s="288"/>
      <c r="P176" s="289"/>
      <c r="U176" s="289"/>
      <c r="Z176" s="289"/>
      <c r="AE176" s="289"/>
      <c r="AJ176" s="289"/>
      <c r="AO176" s="289"/>
      <c r="AT176" s="289"/>
      <c r="AY176" s="289"/>
      <c r="AZ176" s="186"/>
      <c r="BA176" s="186"/>
      <c r="BB176" s="186"/>
      <c r="BC176" s="186"/>
      <c r="BD176" s="289"/>
    </row>
    <row r="177" spans="5:56" s="184" customFormat="1" x14ac:dyDescent="0.3">
      <c r="E177" s="288"/>
      <c r="F177" s="289"/>
      <c r="K177" s="289"/>
      <c r="N177" s="288"/>
      <c r="O177" s="288"/>
      <c r="P177" s="289"/>
      <c r="U177" s="289"/>
      <c r="Z177" s="289"/>
      <c r="AE177" s="289"/>
      <c r="AJ177" s="289"/>
      <c r="AO177" s="289"/>
      <c r="AT177" s="289"/>
      <c r="AY177" s="289"/>
      <c r="AZ177" s="186"/>
      <c r="BA177" s="186"/>
      <c r="BB177" s="186"/>
      <c r="BC177" s="186"/>
      <c r="BD177" s="289"/>
    </row>
    <row r="178" spans="5:56" s="184" customFormat="1" x14ac:dyDescent="0.3">
      <c r="E178" s="288"/>
      <c r="F178" s="289"/>
      <c r="K178" s="289"/>
      <c r="N178" s="288"/>
      <c r="O178" s="288"/>
      <c r="P178" s="289"/>
      <c r="U178" s="289"/>
      <c r="Z178" s="289"/>
      <c r="AE178" s="289"/>
      <c r="AJ178" s="289"/>
      <c r="AO178" s="289"/>
      <c r="AT178" s="289"/>
      <c r="AY178" s="289"/>
      <c r="AZ178" s="186"/>
      <c r="BA178" s="186"/>
      <c r="BB178" s="186"/>
      <c r="BC178" s="186"/>
      <c r="BD178" s="289"/>
    </row>
    <row r="179" spans="5:56" s="184" customFormat="1" x14ac:dyDescent="0.3">
      <c r="E179" s="288"/>
      <c r="F179" s="289"/>
      <c r="K179" s="289"/>
      <c r="N179" s="288"/>
      <c r="O179" s="288"/>
      <c r="P179" s="289"/>
      <c r="U179" s="289"/>
      <c r="Z179" s="289"/>
      <c r="AE179" s="289"/>
      <c r="AJ179" s="289"/>
      <c r="AO179" s="289"/>
      <c r="AT179" s="289"/>
      <c r="AY179" s="289"/>
      <c r="AZ179" s="186"/>
      <c r="BA179" s="186"/>
      <c r="BB179" s="186"/>
      <c r="BC179" s="186"/>
      <c r="BD179" s="289"/>
    </row>
    <row r="180" spans="5:56" s="184" customFormat="1" x14ac:dyDescent="0.3">
      <c r="E180" s="288"/>
      <c r="F180" s="289"/>
      <c r="K180" s="289"/>
      <c r="N180" s="288"/>
      <c r="O180" s="288"/>
      <c r="P180" s="289"/>
      <c r="U180" s="289"/>
      <c r="Z180" s="289"/>
      <c r="AE180" s="289"/>
      <c r="AJ180" s="289"/>
      <c r="AO180" s="289"/>
      <c r="AT180" s="289"/>
      <c r="AY180" s="289"/>
      <c r="AZ180" s="186"/>
      <c r="BA180" s="186"/>
      <c r="BB180" s="186"/>
      <c r="BC180" s="186"/>
      <c r="BD180" s="289"/>
    </row>
    <row r="181" spans="5:56" s="184" customFormat="1" x14ac:dyDescent="0.3">
      <c r="E181" s="288"/>
      <c r="F181" s="289"/>
      <c r="K181" s="289"/>
      <c r="N181" s="288"/>
      <c r="O181" s="288"/>
      <c r="P181" s="289"/>
      <c r="U181" s="289"/>
      <c r="Z181" s="289"/>
      <c r="AE181" s="289"/>
      <c r="AJ181" s="289"/>
      <c r="AO181" s="289"/>
      <c r="AT181" s="289"/>
      <c r="AY181" s="289"/>
      <c r="AZ181" s="186"/>
      <c r="BA181" s="186"/>
      <c r="BB181" s="186"/>
      <c r="BC181" s="186"/>
      <c r="BD181" s="289"/>
    </row>
    <row r="182" spans="5:56" s="184" customFormat="1" x14ac:dyDescent="0.3">
      <c r="E182" s="288"/>
      <c r="F182" s="289"/>
      <c r="K182" s="289"/>
      <c r="N182" s="288"/>
      <c r="O182" s="288"/>
      <c r="P182" s="289"/>
      <c r="U182" s="289"/>
      <c r="Z182" s="289"/>
      <c r="AE182" s="289"/>
      <c r="AJ182" s="289"/>
      <c r="AO182" s="289"/>
      <c r="AT182" s="289"/>
      <c r="AY182" s="289"/>
      <c r="AZ182" s="186"/>
      <c r="BA182" s="186"/>
      <c r="BB182" s="186"/>
      <c r="BC182" s="186"/>
      <c r="BD182" s="289"/>
    </row>
    <row r="183" spans="5:56" s="184" customFormat="1" x14ac:dyDescent="0.3">
      <c r="E183" s="288"/>
      <c r="F183" s="289"/>
      <c r="K183" s="289"/>
      <c r="N183" s="288"/>
      <c r="O183" s="288"/>
      <c r="P183" s="289"/>
      <c r="U183" s="289"/>
      <c r="Z183" s="289"/>
      <c r="AE183" s="289"/>
      <c r="AJ183" s="289"/>
      <c r="AO183" s="289"/>
      <c r="AT183" s="289"/>
      <c r="AY183" s="289"/>
      <c r="AZ183" s="186"/>
      <c r="BA183" s="186"/>
      <c r="BB183" s="186"/>
      <c r="BC183" s="186"/>
      <c r="BD183" s="289"/>
    </row>
    <row r="184" spans="5:56" s="184" customFormat="1" x14ac:dyDescent="0.3">
      <c r="E184" s="288"/>
      <c r="F184" s="289"/>
      <c r="K184" s="289"/>
      <c r="N184" s="288"/>
      <c r="O184" s="288"/>
      <c r="P184" s="289"/>
      <c r="U184" s="289"/>
      <c r="Z184" s="289"/>
      <c r="AE184" s="289"/>
      <c r="AJ184" s="289"/>
      <c r="AO184" s="289"/>
      <c r="AT184" s="289"/>
      <c r="AY184" s="289"/>
      <c r="AZ184" s="186"/>
      <c r="BA184" s="186"/>
      <c r="BB184" s="186"/>
      <c r="BC184" s="186"/>
      <c r="BD184" s="289"/>
    </row>
    <row r="185" spans="5:56" s="184" customFormat="1" x14ac:dyDescent="0.3">
      <c r="E185" s="288"/>
      <c r="F185" s="289"/>
      <c r="K185" s="289"/>
      <c r="N185" s="288"/>
      <c r="O185" s="288"/>
      <c r="P185" s="289"/>
      <c r="U185" s="289"/>
      <c r="Z185" s="289"/>
      <c r="AE185" s="289"/>
      <c r="AJ185" s="289"/>
      <c r="AO185" s="289"/>
      <c r="AT185" s="289"/>
      <c r="AY185" s="289"/>
      <c r="AZ185" s="186"/>
      <c r="BA185" s="186"/>
      <c r="BB185" s="186"/>
      <c r="BC185" s="186"/>
      <c r="BD185" s="289"/>
    </row>
    <row r="186" spans="5:56" s="184" customFormat="1" x14ac:dyDescent="0.3">
      <c r="E186" s="288"/>
      <c r="F186" s="289"/>
      <c r="K186" s="289"/>
      <c r="N186" s="288"/>
      <c r="O186" s="288"/>
      <c r="P186" s="289"/>
      <c r="U186" s="289"/>
      <c r="Z186" s="289"/>
      <c r="AE186" s="289"/>
      <c r="AJ186" s="289"/>
      <c r="AO186" s="289"/>
      <c r="AT186" s="289"/>
      <c r="AY186" s="289"/>
      <c r="AZ186" s="186"/>
      <c r="BA186" s="186"/>
      <c r="BB186" s="186"/>
      <c r="BC186" s="186"/>
      <c r="BD186" s="289"/>
    </row>
    <row r="187" spans="5:56" s="184" customFormat="1" x14ac:dyDescent="0.3">
      <c r="E187" s="288"/>
      <c r="F187" s="289"/>
      <c r="K187" s="289"/>
      <c r="N187" s="288"/>
      <c r="O187" s="288"/>
      <c r="P187" s="289"/>
      <c r="U187" s="289"/>
      <c r="Z187" s="289"/>
      <c r="AE187" s="289"/>
      <c r="AJ187" s="289"/>
      <c r="AO187" s="289"/>
      <c r="AT187" s="289"/>
      <c r="AY187" s="289"/>
      <c r="AZ187" s="186"/>
      <c r="BA187" s="186"/>
      <c r="BB187" s="186"/>
      <c r="BC187" s="186"/>
      <c r="BD187" s="289"/>
    </row>
    <row r="188" spans="5:56" s="184" customFormat="1" x14ac:dyDescent="0.3">
      <c r="E188" s="288"/>
      <c r="F188" s="289"/>
      <c r="K188" s="289"/>
      <c r="N188" s="288"/>
      <c r="O188" s="288"/>
      <c r="P188" s="289"/>
      <c r="U188" s="289"/>
      <c r="Z188" s="289"/>
      <c r="AE188" s="289"/>
      <c r="AJ188" s="289"/>
      <c r="AO188" s="289"/>
      <c r="AT188" s="289"/>
      <c r="AY188" s="289"/>
      <c r="AZ188" s="186"/>
      <c r="BA188" s="186"/>
      <c r="BB188" s="186"/>
      <c r="BC188" s="186"/>
      <c r="BD188" s="289"/>
    </row>
    <row r="189" spans="5:56" s="184" customFormat="1" x14ac:dyDescent="0.3">
      <c r="E189" s="288"/>
      <c r="F189" s="289"/>
      <c r="K189" s="289"/>
      <c r="N189" s="288"/>
      <c r="O189" s="288"/>
      <c r="P189" s="289"/>
      <c r="U189" s="289"/>
      <c r="Z189" s="289"/>
      <c r="AE189" s="289"/>
      <c r="AJ189" s="289"/>
      <c r="AO189" s="289"/>
      <c r="AT189" s="289"/>
      <c r="AY189" s="289"/>
      <c r="AZ189" s="186"/>
      <c r="BA189" s="186"/>
      <c r="BB189" s="186"/>
      <c r="BC189" s="186"/>
      <c r="BD189" s="289"/>
    </row>
    <row r="190" spans="5:56" s="184" customFormat="1" x14ac:dyDescent="0.3">
      <c r="E190" s="288"/>
      <c r="F190" s="289"/>
      <c r="K190" s="289"/>
      <c r="N190" s="288"/>
      <c r="O190" s="288"/>
      <c r="P190" s="289"/>
      <c r="U190" s="289"/>
      <c r="Z190" s="289"/>
      <c r="AE190" s="289"/>
      <c r="AJ190" s="289"/>
      <c r="AO190" s="289"/>
      <c r="AT190" s="289"/>
      <c r="AY190" s="289"/>
      <c r="AZ190" s="186"/>
      <c r="BA190" s="186"/>
      <c r="BB190" s="186"/>
      <c r="BC190" s="186"/>
      <c r="BD190" s="289"/>
    </row>
    <row r="191" spans="5:56" s="184" customFormat="1" x14ac:dyDescent="0.3">
      <c r="E191" s="288"/>
      <c r="F191" s="289"/>
      <c r="K191" s="289"/>
      <c r="N191" s="288"/>
      <c r="O191" s="288"/>
      <c r="P191" s="289"/>
      <c r="U191" s="289"/>
      <c r="Z191" s="289"/>
      <c r="AE191" s="289"/>
      <c r="AJ191" s="289"/>
      <c r="AO191" s="289"/>
      <c r="AT191" s="289"/>
      <c r="AY191" s="289"/>
      <c r="AZ191" s="186"/>
      <c r="BA191" s="186"/>
      <c r="BB191" s="186"/>
      <c r="BC191" s="186"/>
      <c r="BD191" s="289"/>
    </row>
    <row r="192" spans="5:56" s="184" customFormat="1" x14ac:dyDescent="0.3">
      <c r="E192" s="288"/>
      <c r="F192" s="289"/>
      <c r="K192" s="289"/>
      <c r="N192" s="288"/>
      <c r="O192" s="288"/>
      <c r="P192" s="289"/>
      <c r="U192" s="289"/>
      <c r="Z192" s="289"/>
      <c r="AE192" s="289"/>
      <c r="AJ192" s="289"/>
      <c r="AO192" s="289"/>
      <c r="AT192" s="289"/>
      <c r="AY192" s="289"/>
      <c r="AZ192" s="186"/>
      <c r="BA192" s="186"/>
      <c r="BB192" s="186"/>
      <c r="BC192" s="186"/>
      <c r="BD192" s="289"/>
    </row>
    <row r="193" spans="5:56" s="184" customFormat="1" x14ac:dyDescent="0.3">
      <c r="E193" s="288"/>
      <c r="F193" s="289"/>
      <c r="K193" s="289"/>
      <c r="N193" s="288"/>
      <c r="O193" s="288"/>
      <c r="P193" s="289"/>
      <c r="U193" s="289"/>
      <c r="Z193" s="289"/>
      <c r="AE193" s="289"/>
      <c r="AJ193" s="289"/>
      <c r="AO193" s="289"/>
      <c r="AT193" s="289"/>
      <c r="AY193" s="289"/>
      <c r="AZ193" s="186"/>
      <c r="BA193" s="186"/>
      <c r="BB193" s="186"/>
      <c r="BC193" s="186"/>
      <c r="BD193" s="289"/>
    </row>
    <row r="194" spans="5:56" s="184" customFormat="1" x14ac:dyDescent="0.3">
      <c r="E194" s="288"/>
      <c r="F194" s="289"/>
      <c r="K194" s="289"/>
      <c r="N194" s="288"/>
      <c r="O194" s="288"/>
      <c r="P194" s="289"/>
      <c r="U194" s="289"/>
      <c r="Z194" s="289"/>
      <c r="AE194" s="289"/>
      <c r="AJ194" s="289"/>
      <c r="AO194" s="289"/>
      <c r="AT194" s="289"/>
      <c r="AY194" s="289"/>
      <c r="AZ194" s="186"/>
      <c r="BA194" s="186"/>
      <c r="BB194" s="186"/>
      <c r="BC194" s="186"/>
      <c r="BD194" s="289"/>
    </row>
    <row r="195" spans="5:56" s="184" customFormat="1" x14ac:dyDescent="0.3">
      <c r="E195" s="288"/>
      <c r="F195" s="289"/>
      <c r="K195" s="289"/>
      <c r="N195" s="288"/>
      <c r="O195" s="288"/>
      <c r="P195" s="289"/>
      <c r="U195" s="289"/>
      <c r="Z195" s="289"/>
      <c r="AE195" s="289"/>
      <c r="AJ195" s="289"/>
      <c r="AO195" s="289"/>
      <c r="AT195" s="289"/>
      <c r="AY195" s="289"/>
      <c r="AZ195" s="186"/>
      <c r="BA195" s="186"/>
      <c r="BB195" s="186"/>
      <c r="BC195" s="186"/>
      <c r="BD195" s="289"/>
    </row>
    <row r="196" spans="5:56" s="184" customFormat="1" x14ac:dyDescent="0.3">
      <c r="E196" s="288"/>
      <c r="F196" s="289"/>
      <c r="K196" s="289"/>
      <c r="N196" s="288"/>
      <c r="O196" s="288"/>
      <c r="P196" s="289"/>
      <c r="U196" s="289"/>
      <c r="Z196" s="289"/>
      <c r="AE196" s="289"/>
      <c r="AJ196" s="289"/>
      <c r="AO196" s="289"/>
      <c r="AT196" s="289"/>
      <c r="AY196" s="289"/>
      <c r="AZ196" s="186"/>
      <c r="BA196" s="186"/>
      <c r="BB196" s="186"/>
      <c r="BC196" s="186"/>
      <c r="BD196" s="289"/>
    </row>
    <row r="197" spans="5:56" s="184" customFormat="1" x14ac:dyDescent="0.3">
      <c r="E197" s="288"/>
      <c r="F197" s="289"/>
      <c r="K197" s="289"/>
      <c r="N197" s="288"/>
      <c r="O197" s="288"/>
      <c r="P197" s="289"/>
      <c r="U197" s="289"/>
      <c r="Z197" s="289"/>
      <c r="AE197" s="289"/>
      <c r="AJ197" s="289"/>
      <c r="AO197" s="289"/>
      <c r="AT197" s="289"/>
      <c r="AY197" s="289"/>
      <c r="AZ197" s="186"/>
      <c r="BA197" s="186"/>
      <c r="BB197" s="186"/>
      <c r="BC197" s="186"/>
      <c r="BD197" s="289"/>
    </row>
    <row r="198" spans="5:56" s="184" customFormat="1" x14ac:dyDescent="0.3">
      <c r="E198" s="288"/>
      <c r="F198" s="289"/>
      <c r="K198" s="289"/>
      <c r="N198" s="288"/>
      <c r="O198" s="288"/>
      <c r="P198" s="289"/>
      <c r="U198" s="289"/>
      <c r="Z198" s="289"/>
      <c r="AE198" s="289"/>
      <c r="AJ198" s="289"/>
      <c r="AO198" s="289"/>
      <c r="AT198" s="289"/>
      <c r="AY198" s="289"/>
      <c r="AZ198" s="186"/>
      <c r="BA198" s="186"/>
      <c r="BB198" s="186"/>
      <c r="BC198" s="186"/>
      <c r="BD198" s="289"/>
    </row>
    <row r="199" spans="5:56" s="184" customFormat="1" x14ac:dyDescent="0.3">
      <c r="E199" s="288"/>
      <c r="F199" s="289"/>
      <c r="K199" s="289"/>
      <c r="N199" s="288"/>
      <c r="O199" s="288"/>
      <c r="P199" s="289"/>
      <c r="U199" s="289"/>
      <c r="Z199" s="289"/>
      <c r="AE199" s="289"/>
      <c r="AJ199" s="289"/>
      <c r="AO199" s="289"/>
      <c r="AT199" s="289"/>
      <c r="AY199" s="289"/>
      <c r="AZ199" s="186"/>
      <c r="BA199" s="186"/>
      <c r="BB199" s="186"/>
      <c r="BC199" s="186"/>
      <c r="BD199" s="289"/>
    </row>
    <row r="200" spans="5:56" s="184" customFormat="1" x14ac:dyDescent="0.3">
      <c r="E200" s="288"/>
      <c r="F200" s="289"/>
      <c r="K200" s="289"/>
      <c r="N200" s="288"/>
      <c r="O200" s="288"/>
      <c r="P200" s="289"/>
      <c r="U200" s="289"/>
      <c r="Z200" s="289"/>
      <c r="AE200" s="289"/>
      <c r="AJ200" s="289"/>
      <c r="AO200" s="289"/>
      <c r="AT200" s="289"/>
      <c r="AY200" s="289"/>
      <c r="AZ200" s="186"/>
      <c r="BA200" s="186"/>
      <c r="BB200" s="186"/>
      <c r="BC200" s="186"/>
      <c r="BD200" s="289"/>
    </row>
    <row r="201" spans="5:56" s="184" customFormat="1" x14ac:dyDescent="0.3">
      <c r="E201" s="288"/>
      <c r="F201" s="289"/>
      <c r="K201" s="289"/>
      <c r="N201" s="288"/>
      <c r="O201" s="288"/>
      <c r="P201" s="289"/>
      <c r="U201" s="289"/>
      <c r="Z201" s="289"/>
      <c r="AE201" s="289"/>
      <c r="AJ201" s="289"/>
      <c r="AO201" s="289"/>
      <c r="AT201" s="289"/>
      <c r="AY201" s="289"/>
      <c r="AZ201" s="186"/>
      <c r="BA201" s="186"/>
      <c r="BB201" s="186"/>
      <c r="BC201" s="186"/>
      <c r="BD201" s="289"/>
    </row>
    <row r="202" spans="5:56" s="184" customFormat="1" x14ac:dyDescent="0.3">
      <c r="E202" s="288"/>
      <c r="F202" s="289"/>
      <c r="K202" s="289"/>
      <c r="N202" s="288"/>
      <c r="O202" s="288"/>
      <c r="P202" s="289"/>
      <c r="U202" s="289"/>
      <c r="Z202" s="289"/>
      <c r="AE202" s="289"/>
      <c r="AJ202" s="289"/>
      <c r="AO202" s="289"/>
      <c r="AT202" s="289"/>
      <c r="AY202" s="289"/>
      <c r="AZ202" s="186"/>
      <c r="BA202" s="186"/>
      <c r="BB202" s="186"/>
      <c r="BC202" s="186"/>
      <c r="BD202" s="289"/>
    </row>
    <row r="203" spans="5:56" s="184" customFormat="1" x14ac:dyDescent="0.3">
      <c r="E203" s="288"/>
      <c r="F203" s="289"/>
      <c r="K203" s="289"/>
      <c r="N203" s="288"/>
      <c r="O203" s="288"/>
      <c r="P203" s="289"/>
      <c r="U203" s="289"/>
      <c r="Z203" s="289"/>
      <c r="AE203" s="289"/>
      <c r="AJ203" s="289"/>
      <c r="AO203" s="289"/>
      <c r="AT203" s="289"/>
      <c r="AY203" s="289"/>
      <c r="AZ203" s="186"/>
      <c r="BA203" s="186"/>
      <c r="BB203" s="186"/>
      <c r="BC203" s="186"/>
      <c r="BD203" s="289"/>
    </row>
    <row r="204" spans="5:56" s="184" customFormat="1" x14ac:dyDescent="0.3">
      <c r="E204" s="288"/>
      <c r="F204" s="289"/>
      <c r="K204" s="289"/>
      <c r="N204" s="288"/>
      <c r="O204" s="288"/>
      <c r="P204" s="289"/>
      <c r="U204" s="289"/>
      <c r="Z204" s="289"/>
      <c r="AE204" s="289"/>
      <c r="AJ204" s="289"/>
      <c r="AO204" s="289"/>
      <c r="AT204" s="289"/>
      <c r="AY204" s="289"/>
      <c r="AZ204" s="186"/>
      <c r="BA204" s="186"/>
      <c r="BB204" s="186"/>
      <c r="BC204" s="186"/>
      <c r="BD204" s="289"/>
    </row>
    <row r="205" spans="5:56" s="184" customFormat="1" x14ac:dyDescent="0.3">
      <c r="E205" s="288"/>
      <c r="F205" s="289"/>
      <c r="K205" s="289"/>
      <c r="N205" s="288"/>
      <c r="O205" s="288"/>
      <c r="P205" s="289"/>
      <c r="U205" s="289"/>
      <c r="Z205" s="289"/>
      <c r="AE205" s="289"/>
      <c r="AJ205" s="289"/>
      <c r="AO205" s="289"/>
      <c r="AT205" s="289"/>
      <c r="AY205" s="289"/>
      <c r="AZ205" s="186"/>
      <c r="BA205" s="186"/>
      <c r="BB205" s="186"/>
      <c r="BC205" s="186"/>
      <c r="BD205" s="289"/>
    </row>
    <row r="206" spans="5:56" s="184" customFormat="1" x14ac:dyDescent="0.3">
      <c r="E206" s="288"/>
      <c r="F206" s="289"/>
      <c r="K206" s="289"/>
      <c r="N206" s="288"/>
      <c r="O206" s="288"/>
      <c r="P206" s="289"/>
      <c r="U206" s="289"/>
      <c r="Z206" s="289"/>
      <c r="AE206" s="289"/>
      <c r="AJ206" s="289"/>
      <c r="AO206" s="289"/>
      <c r="AT206" s="289"/>
      <c r="AY206" s="289"/>
      <c r="AZ206" s="186"/>
      <c r="BA206" s="186"/>
      <c r="BB206" s="186"/>
      <c r="BC206" s="186"/>
      <c r="BD206" s="289"/>
    </row>
    <row r="207" spans="5:56" s="184" customFormat="1" x14ac:dyDescent="0.3">
      <c r="E207" s="288"/>
      <c r="F207" s="289"/>
      <c r="K207" s="289"/>
      <c r="N207" s="288"/>
      <c r="O207" s="288"/>
      <c r="P207" s="289"/>
      <c r="U207" s="289"/>
      <c r="Z207" s="289"/>
      <c r="AE207" s="289"/>
      <c r="AJ207" s="289"/>
      <c r="AO207" s="289"/>
      <c r="AT207" s="289"/>
      <c r="AY207" s="289"/>
      <c r="AZ207" s="186"/>
      <c r="BA207" s="186"/>
      <c r="BB207" s="186"/>
      <c r="BC207" s="186"/>
      <c r="BD207" s="289"/>
    </row>
    <row r="208" spans="5:56" s="184" customFormat="1" x14ac:dyDescent="0.3">
      <c r="E208" s="288"/>
      <c r="F208" s="289"/>
      <c r="K208" s="289"/>
      <c r="N208" s="288"/>
      <c r="O208" s="288"/>
      <c r="P208" s="289"/>
      <c r="U208" s="289"/>
      <c r="Z208" s="289"/>
      <c r="AE208" s="289"/>
      <c r="AJ208" s="289"/>
      <c r="AO208" s="289"/>
      <c r="AT208" s="289"/>
      <c r="AY208" s="289"/>
      <c r="AZ208" s="186"/>
      <c r="BA208" s="186"/>
      <c r="BB208" s="186"/>
      <c r="BC208" s="186"/>
      <c r="BD208" s="289"/>
    </row>
    <row r="209" spans="5:56" s="184" customFormat="1" x14ac:dyDescent="0.3">
      <c r="E209" s="288"/>
      <c r="F209" s="289"/>
      <c r="K209" s="289"/>
      <c r="N209" s="288"/>
      <c r="O209" s="288"/>
      <c r="P209" s="289"/>
      <c r="U209" s="289"/>
      <c r="Z209" s="289"/>
      <c r="AE209" s="289"/>
      <c r="AJ209" s="289"/>
      <c r="AO209" s="289"/>
      <c r="AT209" s="289"/>
      <c r="AY209" s="289"/>
      <c r="AZ209" s="186"/>
      <c r="BA209" s="186"/>
      <c r="BB209" s="186"/>
      <c r="BC209" s="186"/>
      <c r="BD209" s="289"/>
    </row>
    <row r="210" spans="5:56" s="184" customFormat="1" x14ac:dyDescent="0.3">
      <c r="E210" s="288"/>
      <c r="F210" s="289"/>
      <c r="K210" s="289"/>
      <c r="N210" s="288"/>
      <c r="O210" s="288"/>
      <c r="P210" s="289"/>
      <c r="U210" s="289"/>
      <c r="Z210" s="289"/>
      <c r="AE210" s="289"/>
      <c r="AJ210" s="289"/>
      <c r="AO210" s="289"/>
      <c r="AT210" s="289"/>
      <c r="AY210" s="289"/>
      <c r="AZ210" s="186"/>
      <c r="BA210" s="186"/>
      <c r="BB210" s="186"/>
      <c r="BC210" s="186"/>
      <c r="BD210" s="289"/>
    </row>
    <row r="211" spans="5:56" s="184" customFormat="1" x14ac:dyDescent="0.3">
      <c r="E211" s="288"/>
      <c r="F211" s="289"/>
      <c r="K211" s="289"/>
      <c r="N211" s="288"/>
      <c r="O211" s="288"/>
      <c r="P211" s="289"/>
      <c r="U211" s="289"/>
      <c r="Z211" s="289"/>
      <c r="AE211" s="289"/>
      <c r="AJ211" s="289"/>
      <c r="AO211" s="289"/>
      <c r="AT211" s="289"/>
      <c r="AY211" s="289"/>
      <c r="AZ211" s="186"/>
      <c r="BA211" s="186"/>
      <c r="BB211" s="186"/>
      <c r="BC211" s="186"/>
      <c r="BD211" s="289"/>
    </row>
    <row r="212" spans="5:56" s="184" customFormat="1" x14ac:dyDescent="0.3">
      <c r="E212" s="288"/>
      <c r="F212" s="289"/>
      <c r="K212" s="289"/>
      <c r="N212" s="288"/>
      <c r="O212" s="288"/>
      <c r="P212" s="289"/>
      <c r="U212" s="289"/>
      <c r="Z212" s="289"/>
      <c r="AE212" s="289"/>
      <c r="AJ212" s="289"/>
      <c r="AO212" s="289"/>
      <c r="AT212" s="289"/>
      <c r="AY212" s="289"/>
      <c r="AZ212" s="186"/>
      <c r="BA212" s="186"/>
      <c r="BB212" s="186"/>
      <c r="BC212" s="186"/>
      <c r="BD212" s="289"/>
    </row>
    <row r="213" spans="5:56" s="184" customFormat="1" x14ac:dyDescent="0.3">
      <c r="E213" s="288"/>
      <c r="F213" s="289"/>
      <c r="K213" s="289"/>
      <c r="N213" s="288"/>
      <c r="O213" s="288"/>
      <c r="P213" s="289"/>
      <c r="U213" s="289"/>
      <c r="Z213" s="289"/>
      <c r="AE213" s="289"/>
      <c r="AJ213" s="289"/>
      <c r="AO213" s="289"/>
      <c r="AT213" s="289"/>
      <c r="AY213" s="289"/>
      <c r="AZ213" s="186"/>
      <c r="BA213" s="186"/>
      <c r="BB213" s="186"/>
      <c r="BC213" s="186"/>
      <c r="BD213" s="289"/>
    </row>
    <row r="214" spans="5:56" s="184" customFormat="1" x14ac:dyDescent="0.3">
      <c r="E214" s="288"/>
      <c r="F214" s="289"/>
      <c r="K214" s="289"/>
      <c r="N214" s="288"/>
      <c r="O214" s="288"/>
      <c r="P214" s="289"/>
      <c r="U214" s="289"/>
      <c r="Z214" s="289"/>
      <c r="AE214" s="289"/>
      <c r="AJ214" s="289"/>
      <c r="AO214" s="289"/>
      <c r="AT214" s="289"/>
      <c r="AY214" s="289"/>
      <c r="AZ214" s="186"/>
      <c r="BA214" s="186"/>
      <c r="BB214" s="186"/>
      <c r="BC214" s="186"/>
      <c r="BD214" s="289"/>
    </row>
    <row r="215" spans="5:56" s="184" customFormat="1" x14ac:dyDescent="0.3">
      <c r="E215" s="288"/>
      <c r="F215" s="289"/>
      <c r="K215" s="289"/>
      <c r="N215" s="288"/>
      <c r="O215" s="288"/>
      <c r="P215" s="289"/>
      <c r="U215" s="289"/>
      <c r="Z215" s="289"/>
      <c r="AE215" s="289"/>
      <c r="AJ215" s="289"/>
      <c r="AO215" s="289"/>
      <c r="AT215" s="289"/>
      <c r="AY215" s="289"/>
      <c r="AZ215" s="186"/>
      <c r="BA215" s="186"/>
      <c r="BB215" s="186"/>
      <c r="BC215" s="186"/>
      <c r="BD215" s="289"/>
    </row>
    <row r="216" spans="5:56" s="184" customFormat="1" x14ac:dyDescent="0.3">
      <c r="E216" s="288"/>
      <c r="F216" s="289"/>
      <c r="K216" s="289"/>
      <c r="N216" s="288"/>
      <c r="O216" s="288"/>
      <c r="P216" s="289"/>
      <c r="U216" s="289"/>
      <c r="Z216" s="289"/>
      <c r="AE216" s="289"/>
      <c r="AJ216" s="289"/>
      <c r="AO216" s="289"/>
      <c r="AT216" s="289"/>
      <c r="AY216" s="289"/>
      <c r="AZ216" s="186"/>
      <c r="BA216" s="186"/>
      <c r="BB216" s="186"/>
      <c r="BC216" s="186"/>
      <c r="BD216" s="289"/>
    </row>
    <row r="217" spans="5:56" s="184" customFormat="1" x14ac:dyDescent="0.3">
      <c r="E217" s="288"/>
      <c r="F217" s="289"/>
      <c r="K217" s="289"/>
      <c r="N217" s="288"/>
      <c r="O217" s="288"/>
      <c r="P217" s="289"/>
      <c r="U217" s="289"/>
      <c r="Z217" s="289"/>
      <c r="AE217" s="289"/>
      <c r="AJ217" s="289"/>
      <c r="AO217" s="289"/>
      <c r="AT217" s="289"/>
      <c r="AY217" s="289"/>
      <c r="AZ217" s="186"/>
      <c r="BA217" s="186"/>
      <c r="BB217" s="186"/>
      <c r="BC217" s="186"/>
      <c r="BD217" s="289"/>
    </row>
    <row r="218" spans="5:56" s="184" customFormat="1" x14ac:dyDescent="0.3">
      <c r="E218" s="288"/>
      <c r="F218" s="289"/>
      <c r="K218" s="289"/>
      <c r="N218" s="288"/>
      <c r="O218" s="288"/>
      <c r="P218" s="289"/>
      <c r="U218" s="289"/>
      <c r="Z218" s="289"/>
      <c r="AE218" s="289"/>
      <c r="AJ218" s="289"/>
      <c r="AO218" s="289"/>
      <c r="AT218" s="289"/>
      <c r="AY218" s="289"/>
      <c r="AZ218" s="186"/>
      <c r="BA218" s="186"/>
      <c r="BB218" s="186"/>
      <c r="BC218" s="186"/>
      <c r="BD218" s="289"/>
    </row>
    <row r="219" spans="5:56" s="184" customFormat="1" x14ac:dyDescent="0.3">
      <c r="E219" s="288"/>
      <c r="F219" s="289"/>
      <c r="K219" s="289"/>
      <c r="N219" s="288"/>
      <c r="O219" s="288"/>
      <c r="P219" s="289"/>
      <c r="U219" s="289"/>
      <c r="Z219" s="289"/>
      <c r="AE219" s="289"/>
      <c r="AJ219" s="289"/>
      <c r="AO219" s="289"/>
      <c r="AT219" s="289"/>
      <c r="AY219" s="289"/>
      <c r="AZ219" s="186"/>
      <c r="BA219" s="186"/>
      <c r="BB219" s="186"/>
      <c r="BC219" s="186"/>
      <c r="BD219" s="289"/>
    </row>
    <row r="220" spans="5:56" s="184" customFormat="1" x14ac:dyDescent="0.3">
      <c r="E220" s="288"/>
      <c r="F220" s="289"/>
      <c r="K220" s="289"/>
      <c r="N220" s="288"/>
      <c r="O220" s="288"/>
      <c r="P220" s="289"/>
      <c r="U220" s="289"/>
      <c r="Z220" s="289"/>
      <c r="AE220" s="289"/>
      <c r="AJ220" s="289"/>
      <c r="AO220" s="289"/>
      <c r="AT220" s="289"/>
      <c r="AY220" s="289"/>
      <c r="AZ220" s="186"/>
      <c r="BA220" s="186"/>
      <c r="BB220" s="186"/>
      <c r="BC220" s="186"/>
      <c r="BD220" s="289"/>
    </row>
    <row r="221" spans="5:56" s="184" customFormat="1" x14ac:dyDescent="0.3">
      <c r="E221" s="288"/>
      <c r="F221" s="289"/>
      <c r="K221" s="289"/>
      <c r="N221" s="288"/>
      <c r="O221" s="288"/>
      <c r="P221" s="289"/>
      <c r="U221" s="289"/>
      <c r="Z221" s="289"/>
      <c r="AE221" s="289"/>
      <c r="AJ221" s="289"/>
      <c r="AO221" s="289"/>
      <c r="AT221" s="289"/>
      <c r="AY221" s="289"/>
      <c r="AZ221" s="186"/>
      <c r="BA221" s="186"/>
      <c r="BB221" s="186"/>
      <c r="BC221" s="186"/>
      <c r="BD221" s="289"/>
    </row>
    <row r="222" spans="5:56" s="184" customFormat="1" x14ac:dyDescent="0.3">
      <c r="E222" s="288"/>
      <c r="F222" s="289"/>
      <c r="K222" s="289"/>
      <c r="N222" s="288"/>
      <c r="O222" s="288"/>
      <c r="P222" s="289"/>
      <c r="U222" s="289"/>
      <c r="Z222" s="289"/>
      <c r="AE222" s="289"/>
      <c r="AJ222" s="289"/>
      <c r="AO222" s="289"/>
      <c r="AT222" s="289"/>
      <c r="AY222" s="289"/>
      <c r="AZ222" s="186"/>
      <c r="BA222" s="186"/>
      <c r="BB222" s="186"/>
      <c r="BC222" s="186"/>
      <c r="BD222" s="289"/>
    </row>
    <row r="223" spans="5:56" s="184" customFormat="1" x14ac:dyDescent="0.3">
      <c r="E223" s="288"/>
      <c r="F223" s="289"/>
      <c r="K223" s="289"/>
      <c r="N223" s="288"/>
      <c r="O223" s="288"/>
      <c r="P223" s="289"/>
      <c r="U223" s="289"/>
      <c r="Z223" s="289"/>
      <c r="AE223" s="289"/>
      <c r="AJ223" s="289"/>
      <c r="AO223" s="289"/>
      <c r="AT223" s="289"/>
      <c r="AY223" s="289"/>
      <c r="AZ223" s="186"/>
      <c r="BA223" s="186"/>
      <c r="BB223" s="186"/>
      <c r="BC223" s="186"/>
      <c r="BD223" s="289"/>
    </row>
    <row r="224" spans="5:56" s="184" customFormat="1" x14ac:dyDescent="0.3">
      <c r="E224" s="288"/>
      <c r="F224" s="289"/>
      <c r="K224" s="289"/>
      <c r="N224" s="288"/>
      <c r="O224" s="288"/>
      <c r="P224" s="289"/>
      <c r="U224" s="289"/>
      <c r="Z224" s="289"/>
      <c r="AE224" s="289"/>
      <c r="AJ224" s="289"/>
      <c r="AO224" s="289"/>
      <c r="AT224" s="289"/>
      <c r="AY224" s="289"/>
      <c r="AZ224" s="186"/>
      <c r="BA224" s="186"/>
      <c r="BB224" s="186"/>
      <c r="BC224" s="186"/>
      <c r="BD224" s="289"/>
    </row>
    <row r="225" spans="5:56" s="184" customFormat="1" x14ac:dyDescent="0.3">
      <c r="E225" s="288"/>
      <c r="F225" s="289"/>
      <c r="K225" s="289"/>
      <c r="N225" s="288"/>
      <c r="O225" s="288"/>
      <c r="P225" s="289"/>
      <c r="U225" s="289"/>
      <c r="Z225" s="289"/>
      <c r="AE225" s="289"/>
      <c r="AJ225" s="289"/>
      <c r="AO225" s="289"/>
      <c r="AT225" s="289"/>
      <c r="AY225" s="289"/>
      <c r="AZ225" s="186"/>
      <c r="BA225" s="186"/>
      <c r="BB225" s="186"/>
      <c r="BC225" s="186"/>
      <c r="BD225" s="289"/>
    </row>
    <row r="226" spans="5:56" s="184" customFormat="1" x14ac:dyDescent="0.3">
      <c r="E226" s="288"/>
      <c r="F226" s="289"/>
      <c r="K226" s="289"/>
      <c r="N226" s="288"/>
      <c r="O226" s="288"/>
      <c r="P226" s="289"/>
      <c r="U226" s="289"/>
      <c r="Z226" s="289"/>
      <c r="AE226" s="289"/>
      <c r="AJ226" s="289"/>
      <c r="AO226" s="289"/>
      <c r="AT226" s="289"/>
      <c r="AY226" s="289"/>
      <c r="AZ226" s="186"/>
      <c r="BA226" s="186"/>
      <c r="BB226" s="186"/>
      <c r="BC226" s="186"/>
      <c r="BD226" s="289"/>
    </row>
    <row r="227" spans="5:56" s="184" customFormat="1" x14ac:dyDescent="0.3">
      <c r="E227" s="288"/>
      <c r="F227" s="289"/>
      <c r="K227" s="289"/>
      <c r="N227" s="288"/>
      <c r="O227" s="288"/>
      <c r="P227" s="289"/>
      <c r="U227" s="289"/>
      <c r="Z227" s="289"/>
      <c r="AE227" s="289"/>
      <c r="AJ227" s="289"/>
      <c r="AO227" s="289"/>
      <c r="AT227" s="289"/>
      <c r="AY227" s="289"/>
      <c r="AZ227" s="186"/>
      <c r="BA227" s="186"/>
      <c r="BB227" s="186"/>
      <c r="BC227" s="186"/>
      <c r="BD227" s="289"/>
    </row>
    <row r="228" spans="5:56" s="184" customFormat="1" x14ac:dyDescent="0.3">
      <c r="E228" s="288"/>
      <c r="F228" s="289"/>
      <c r="K228" s="289"/>
      <c r="N228" s="288"/>
      <c r="O228" s="288"/>
      <c r="P228" s="289"/>
      <c r="U228" s="289"/>
      <c r="Z228" s="289"/>
      <c r="AE228" s="289"/>
      <c r="AJ228" s="289"/>
      <c r="AO228" s="289"/>
      <c r="AT228" s="289"/>
      <c r="AY228" s="289"/>
      <c r="AZ228" s="186"/>
      <c r="BA228" s="186"/>
      <c r="BB228" s="186"/>
      <c r="BC228" s="186"/>
      <c r="BD228" s="289"/>
    </row>
    <row r="229" spans="5:56" s="184" customFormat="1" x14ac:dyDescent="0.3">
      <c r="E229" s="288"/>
      <c r="F229" s="289"/>
      <c r="K229" s="289"/>
      <c r="N229" s="288"/>
      <c r="O229" s="288"/>
      <c r="P229" s="289"/>
      <c r="U229" s="289"/>
      <c r="Z229" s="289"/>
      <c r="AE229" s="289"/>
      <c r="AJ229" s="289"/>
      <c r="AO229" s="289"/>
      <c r="AT229" s="289"/>
      <c r="AY229" s="289"/>
      <c r="AZ229" s="186"/>
      <c r="BA229" s="186"/>
      <c r="BB229" s="186"/>
      <c r="BC229" s="186"/>
      <c r="BD229" s="289"/>
    </row>
    <row r="230" spans="5:56" s="184" customFormat="1" x14ac:dyDescent="0.3">
      <c r="E230" s="288"/>
      <c r="F230" s="289"/>
      <c r="K230" s="289"/>
      <c r="N230" s="288"/>
      <c r="O230" s="288"/>
      <c r="P230" s="289"/>
      <c r="U230" s="289"/>
      <c r="Z230" s="289"/>
      <c r="AE230" s="289"/>
      <c r="AJ230" s="289"/>
      <c r="AO230" s="289"/>
      <c r="AT230" s="289"/>
      <c r="AY230" s="289"/>
      <c r="AZ230" s="186"/>
      <c r="BA230" s="186"/>
      <c r="BB230" s="186"/>
      <c r="BC230" s="186"/>
      <c r="BD230" s="289"/>
    </row>
    <row r="231" spans="5:56" s="184" customFormat="1" x14ac:dyDescent="0.3">
      <c r="E231" s="288"/>
      <c r="F231" s="289"/>
      <c r="K231" s="289"/>
      <c r="N231" s="288"/>
      <c r="O231" s="288"/>
      <c r="P231" s="289"/>
      <c r="U231" s="289"/>
      <c r="Z231" s="289"/>
      <c r="AE231" s="289"/>
      <c r="AJ231" s="289"/>
      <c r="AO231" s="289"/>
      <c r="AT231" s="289"/>
      <c r="AY231" s="289"/>
      <c r="AZ231" s="186"/>
      <c r="BA231" s="186"/>
      <c r="BB231" s="186"/>
      <c r="BC231" s="186"/>
      <c r="BD231" s="289"/>
    </row>
    <row r="232" spans="5:56" s="184" customFormat="1" x14ac:dyDescent="0.3">
      <c r="E232" s="288"/>
      <c r="F232" s="289"/>
      <c r="K232" s="289"/>
      <c r="N232" s="288"/>
      <c r="O232" s="288"/>
      <c r="P232" s="289"/>
      <c r="U232" s="289"/>
      <c r="Z232" s="289"/>
      <c r="AE232" s="289"/>
      <c r="AJ232" s="289"/>
      <c r="AO232" s="289"/>
      <c r="AT232" s="289"/>
      <c r="AY232" s="289"/>
      <c r="AZ232" s="186"/>
      <c r="BA232" s="186"/>
      <c r="BB232" s="186"/>
      <c r="BC232" s="186"/>
      <c r="BD232" s="289"/>
    </row>
    <row r="233" spans="5:56" s="184" customFormat="1" x14ac:dyDescent="0.3">
      <c r="E233" s="288"/>
      <c r="F233" s="289"/>
      <c r="K233" s="289"/>
      <c r="N233" s="288"/>
      <c r="O233" s="288"/>
      <c r="P233" s="289"/>
      <c r="U233" s="289"/>
      <c r="Z233" s="289"/>
      <c r="AE233" s="289"/>
      <c r="AJ233" s="289"/>
      <c r="AO233" s="289"/>
      <c r="AT233" s="289"/>
      <c r="AY233" s="289"/>
      <c r="AZ233" s="186"/>
      <c r="BA233" s="186"/>
      <c r="BB233" s="186"/>
      <c r="BC233" s="186"/>
      <c r="BD233" s="289"/>
    </row>
    <row r="234" spans="5:56" s="184" customFormat="1" x14ac:dyDescent="0.3">
      <c r="E234" s="288"/>
      <c r="F234" s="289"/>
      <c r="K234" s="289"/>
      <c r="N234" s="288"/>
      <c r="O234" s="288"/>
      <c r="P234" s="289"/>
      <c r="U234" s="289"/>
      <c r="Z234" s="289"/>
      <c r="AE234" s="289"/>
      <c r="AJ234" s="289"/>
      <c r="AO234" s="289"/>
      <c r="AT234" s="289"/>
      <c r="AY234" s="289"/>
      <c r="AZ234" s="186"/>
      <c r="BA234" s="186"/>
      <c r="BB234" s="186"/>
      <c r="BC234" s="186"/>
      <c r="BD234" s="289"/>
    </row>
    <row r="235" spans="5:56" s="184" customFormat="1" x14ac:dyDescent="0.3">
      <c r="E235" s="288"/>
      <c r="F235" s="289"/>
      <c r="K235" s="289"/>
      <c r="N235" s="288"/>
      <c r="O235" s="288"/>
      <c r="P235" s="289"/>
      <c r="U235" s="289"/>
      <c r="Z235" s="289"/>
      <c r="AE235" s="289"/>
      <c r="AJ235" s="289"/>
      <c r="AO235" s="289"/>
      <c r="AT235" s="289"/>
      <c r="AY235" s="289"/>
      <c r="AZ235" s="186"/>
      <c r="BA235" s="186"/>
      <c r="BB235" s="186"/>
      <c r="BC235" s="186"/>
      <c r="BD235" s="289"/>
    </row>
    <row r="236" spans="5:56" s="184" customFormat="1" x14ac:dyDescent="0.3">
      <c r="E236" s="288"/>
      <c r="F236" s="289"/>
      <c r="K236" s="289"/>
      <c r="N236" s="288"/>
      <c r="O236" s="288"/>
      <c r="P236" s="289"/>
      <c r="U236" s="289"/>
      <c r="Z236" s="289"/>
      <c r="AE236" s="289"/>
      <c r="AJ236" s="289"/>
      <c r="AO236" s="289"/>
      <c r="AT236" s="289"/>
      <c r="AY236" s="289"/>
      <c r="AZ236" s="186"/>
      <c r="BA236" s="186"/>
      <c r="BB236" s="186"/>
      <c r="BC236" s="186"/>
      <c r="BD236" s="289"/>
    </row>
    <row r="237" spans="5:56" s="184" customFormat="1" x14ac:dyDescent="0.3">
      <c r="E237" s="288"/>
      <c r="F237" s="289"/>
      <c r="K237" s="289"/>
      <c r="N237" s="288"/>
      <c r="O237" s="288"/>
      <c r="P237" s="289"/>
      <c r="U237" s="289"/>
      <c r="Z237" s="289"/>
      <c r="AE237" s="289"/>
      <c r="AJ237" s="289"/>
      <c r="AO237" s="289"/>
      <c r="AT237" s="289"/>
      <c r="AY237" s="289"/>
      <c r="AZ237" s="186"/>
      <c r="BA237" s="186"/>
      <c r="BB237" s="186"/>
      <c r="BC237" s="186"/>
      <c r="BD237" s="289"/>
    </row>
    <row r="238" spans="5:56" s="184" customFormat="1" x14ac:dyDescent="0.3">
      <c r="E238" s="288"/>
      <c r="F238" s="289"/>
      <c r="K238" s="289"/>
      <c r="N238" s="288"/>
      <c r="O238" s="288"/>
      <c r="P238" s="289"/>
      <c r="U238" s="289"/>
      <c r="Z238" s="289"/>
      <c r="AE238" s="289"/>
      <c r="AJ238" s="289"/>
      <c r="AO238" s="289"/>
      <c r="AT238" s="289"/>
      <c r="AY238" s="289"/>
      <c r="AZ238" s="186"/>
      <c r="BA238" s="186"/>
      <c r="BB238" s="186"/>
      <c r="BC238" s="186"/>
      <c r="BD238" s="289"/>
    </row>
    <row r="239" spans="5:56" s="184" customFormat="1" x14ac:dyDescent="0.3">
      <c r="E239" s="288"/>
      <c r="F239" s="289"/>
      <c r="K239" s="289"/>
      <c r="N239" s="288"/>
      <c r="O239" s="288"/>
      <c r="P239" s="289"/>
      <c r="U239" s="289"/>
      <c r="Z239" s="289"/>
      <c r="AE239" s="289"/>
      <c r="AJ239" s="289"/>
      <c r="AO239" s="289"/>
      <c r="AT239" s="289"/>
      <c r="AY239" s="289"/>
      <c r="AZ239" s="186"/>
      <c r="BA239" s="186"/>
      <c r="BB239" s="186"/>
      <c r="BC239" s="186"/>
      <c r="BD239" s="289"/>
    </row>
    <row r="240" spans="5:56" s="184" customFormat="1" x14ac:dyDescent="0.3">
      <c r="E240" s="288"/>
      <c r="F240" s="289"/>
      <c r="K240" s="289"/>
      <c r="N240" s="288"/>
      <c r="O240" s="288"/>
      <c r="P240" s="289"/>
      <c r="U240" s="289"/>
      <c r="Z240" s="289"/>
      <c r="AE240" s="289"/>
      <c r="AJ240" s="289"/>
      <c r="AO240" s="289"/>
      <c r="AT240" s="289"/>
      <c r="AY240" s="289"/>
      <c r="AZ240" s="186"/>
      <c r="BA240" s="186"/>
      <c r="BB240" s="186"/>
      <c r="BC240" s="186"/>
      <c r="BD240" s="289"/>
    </row>
    <row r="241" spans="5:56" s="184" customFormat="1" x14ac:dyDescent="0.3">
      <c r="E241" s="288"/>
      <c r="F241" s="289"/>
      <c r="K241" s="289"/>
      <c r="N241" s="288"/>
      <c r="O241" s="288"/>
      <c r="P241" s="289"/>
      <c r="U241" s="289"/>
      <c r="Z241" s="289"/>
      <c r="AE241" s="289"/>
      <c r="AJ241" s="289"/>
      <c r="AO241" s="289"/>
      <c r="AT241" s="289"/>
      <c r="AY241" s="289"/>
      <c r="AZ241" s="186"/>
      <c r="BA241" s="186"/>
      <c r="BB241" s="186"/>
      <c r="BC241" s="186"/>
      <c r="BD241" s="289"/>
    </row>
    <row r="242" spans="5:56" s="184" customFormat="1" x14ac:dyDescent="0.3">
      <c r="E242" s="288"/>
      <c r="F242" s="289"/>
      <c r="K242" s="289"/>
      <c r="N242" s="288"/>
      <c r="O242" s="288"/>
      <c r="P242" s="289"/>
      <c r="U242" s="289"/>
      <c r="Z242" s="289"/>
      <c r="AE242" s="289"/>
      <c r="AJ242" s="289"/>
      <c r="AO242" s="289"/>
      <c r="AT242" s="289"/>
      <c r="AY242" s="289"/>
      <c r="AZ242" s="186"/>
      <c r="BA242" s="186"/>
      <c r="BB242" s="186"/>
      <c r="BC242" s="186"/>
      <c r="BD242" s="289"/>
    </row>
    <row r="243" spans="5:56" s="184" customFormat="1" x14ac:dyDescent="0.3">
      <c r="E243" s="288"/>
      <c r="F243" s="289"/>
      <c r="K243" s="289"/>
      <c r="N243" s="288"/>
      <c r="O243" s="288"/>
      <c r="P243" s="289"/>
      <c r="U243" s="289"/>
      <c r="Z243" s="289"/>
      <c r="AE243" s="289"/>
      <c r="AJ243" s="289"/>
      <c r="AO243" s="289"/>
      <c r="AT243" s="289"/>
      <c r="AY243" s="289"/>
      <c r="AZ243" s="186"/>
      <c r="BA243" s="186"/>
      <c r="BB243" s="186"/>
      <c r="BC243" s="186"/>
      <c r="BD243" s="289"/>
    </row>
    <row r="244" spans="5:56" s="184" customFormat="1" x14ac:dyDescent="0.3">
      <c r="E244" s="288"/>
      <c r="F244" s="289"/>
      <c r="K244" s="289"/>
      <c r="N244" s="288"/>
      <c r="O244" s="288"/>
      <c r="P244" s="289"/>
      <c r="U244" s="289"/>
      <c r="Z244" s="289"/>
      <c r="AE244" s="289"/>
      <c r="AJ244" s="289"/>
      <c r="AO244" s="289"/>
      <c r="AT244" s="289"/>
      <c r="AY244" s="289"/>
      <c r="AZ244" s="186"/>
      <c r="BA244" s="186"/>
      <c r="BB244" s="186"/>
      <c r="BC244" s="186"/>
      <c r="BD244" s="289"/>
    </row>
    <row r="245" spans="5:56" s="184" customFormat="1" x14ac:dyDescent="0.3">
      <c r="E245" s="288"/>
      <c r="F245" s="289"/>
      <c r="K245" s="289"/>
      <c r="N245" s="288"/>
      <c r="O245" s="288"/>
      <c r="P245" s="289"/>
      <c r="U245" s="289"/>
      <c r="Z245" s="289"/>
      <c r="AE245" s="289"/>
      <c r="AJ245" s="289"/>
      <c r="AO245" s="289"/>
      <c r="AT245" s="289"/>
      <c r="AY245" s="289"/>
      <c r="AZ245" s="186"/>
      <c r="BA245" s="186"/>
      <c r="BB245" s="186"/>
      <c r="BC245" s="186"/>
      <c r="BD245" s="289"/>
    </row>
    <row r="246" spans="5:56" s="184" customFormat="1" x14ac:dyDescent="0.3">
      <c r="E246" s="288"/>
      <c r="F246" s="289"/>
      <c r="K246" s="289"/>
      <c r="N246" s="288"/>
      <c r="O246" s="288"/>
      <c r="P246" s="289"/>
      <c r="U246" s="289"/>
      <c r="Z246" s="289"/>
      <c r="AE246" s="289"/>
      <c r="AJ246" s="289"/>
      <c r="AO246" s="289"/>
      <c r="AT246" s="289"/>
      <c r="AY246" s="289"/>
      <c r="AZ246" s="186"/>
      <c r="BA246" s="186"/>
      <c r="BB246" s="186"/>
      <c r="BC246" s="186"/>
      <c r="BD246" s="289"/>
    </row>
    <row r="247" spans="5:56" s="184" customFormat="1" x14ac:dyDescent="0.3">
      <c r="E247" s="288"/>
      <c r="F247" s="289"/>
      <c r="K247" s="289"/>
      <c r="N247" s="288"/>
      <c r="O247" s="288"/>
      <c r="P247" s="289"/>
      <c r="U247" s="289"/>
      <c r="Z247" s="289"/>
      <c r="AE247" s="289"/>
      <c r="AJ247" s="289"/>
      <c r="AO247" s="289"/>
      <c r="AT247" s="289"/>
      <c r="AY247" s="289"/>
      <c r="AZ247" s="186"/>
      <c r="BA247" s="186"/>
      <c r="BB247" s="186"/>
      <c r="BC247" s="186"/>
      <c r="BD247" s="289"/>
    </row>
    <row r="248" spans="5:56" s="184" customFormat="1" x14ac:dyDescent="0.3">
      <c r="E248" s="288"/>
      <c r="F248" s="289"/>
      <c r="K248" s="289"/>
      <c r="N248" s="288"/>
      <c r="O248" s="288"/>
      <c r="P248" s="289"/>
      <c r="U248" s="289"/>
      <c r="Z248" s="289"/>
      <c r="AE248" s="289"/>
      <c r="AJ248" s="289"/>
      <c r="AO248" s="289"/>
      <c r="AT248" s="289"/>
      <c r="AY248" s="289"/>
      <c r="AZ248" s="186"/>
      <c r="BA248" s="186"/>
      <c r="BB248" s="186"/>
      <c r="BC248" s="186"/>
      <c r="BD248" s="289"/>
    </row>
    <row r="249" spans="5:56" s="184" customFormat="1" x14ac:dyDescent="0.3">
      <c r="E249" s="288"/>
      <c r="F249" s="289"/>
      <c r="K249" s="289"/>
      <c r="N249" s="288"/>
      <c r="O249" s="288"/>
      <c r="P249" s="289"/>
      <c r="U249" s="289"/>
      <c r="Z249" s="289"/>
      <c r="AE249" s="289"/>
      <c r="AJ249" s="289"/>
      <c r="AO249" s="289"/>
      <c r="AT249" s="289"/>
      <c r="AY249" s="289"/>
      <c r="AZ249" s="186"/>
      <c r="BA249" s="186"/>
      <c r="BB249" s="186"/>
      <c r="BC249" s="186"/>
      <c r="BD249" s="289"/>
    </row>
    <row r="250" spans="5:56" s="184" customFormat="1" x14ac:dyDescent="0.3">
      <c r="E250" s="288"/>
      <c r="F250" s="289"/>
      <c r="K250" s="289"/>
      <c r="N250" s="288"/>
      <c r="O250" s="288"/>
      <c r="P250" s="289"/>
      <c r="U250" s="289"/>
      <c r="Z250" s="289"/>
      <c r="AE250" s="289"/>
      <c r="AJ250" s="289"/>
      <c r="AO250" s="289"/>
      <c r="AT250" s="289"/>
      <c r="AY250" s="289"/>
      <c r="AZ250" s="186"/>
      <c r="BA250" s="186"/>
      <c r="BB250" s="186"/>
      <c r="BC250" s="186"/>
      <c r="BD250" s="289"/>
    </row>
    <row r="251" spans="5:56" s="184" customFormat="1" x14ac:dyDescent="0.3">
      <c r="E251" s="288"/>
      <c r="F251" s="289"/>
      <c r="K251" s="289"/>
      <c r="N251" s="288"/>
      <c r="O251" s="288"/>
      <c r="P251" s="289"/>
      <c r="U251" s="289"/>
      <c r="Z251" s="289"/>
      <c r="AE251" s="289"/>
      <c r="AJ251" s="289"/>
      <c r="AO251" s="289"/>
      <c r="AT251" s="289"/>
      <c r="AY251" s="289"/>
      <c r="AZ251" s="186"/>
      <c r="BA251" s="186"/>
      <c r="BB251" s="186"/>
      <c r="BC251" s="186"/>
      <c r="BD251" s="289"/>
    </row>
    <row r="252" spans="5:56" s="184" customFormat="1" x14ac:dyDescent="0.3">
      <c r="E252" s="288"/>
      <c r="F252" s="289"/>
      <c r="K252" s="289"/>
      <c r="N252" s="288"/>
      <c r="O252" s="288"/>
      <c r="P252" s="289"/>
      <c r="U252" s="289"/>
      <c r="Z252" s="289"/>
      <c r="AE252" s="289"/>
      <c r="AJ252" s="289"/>
      <c r="AO252" s="289"/>
      <c r="AT252" s="289"/>
      <c r="AY252" s="289"/>
      <c r="AZ252" s="186"/>
      <c r="BA252" s="186"/>
      <c r="BB252" s="186"/>
      <c r="BC252" s="186"/>
      <c r="BD252" s="289"/>
    </row>
    <row r="253" spans="5:56" s="184" customFormat="1" x14ac:dyDescent="0.3">
      <c r="E253" s="288"/>
      <c r="F253" s="289"/>
      <c r="K253" s="289"/>
      <c r="N253" s="288"/>
      <c r="O253" s="288"/>
      <c r="P253" s="289"/>
      <c r="U253" s="289"/>
      <c r="Z253" s="289"/>
      <c r="AE253" s="289"/>
      <c r="AJ253" s="289"/>
      <c r="AO253" s="289"/>
      <c r="AT253" s="289"/>
      <c r="AY253" s="289"/>
      <c r="AZ253" s="186"/>
      <c r="BA253" s="186"/>
      <c r="BB253" s="186"/>
      <c r="BC253" s="186"/>
      <c r="BD253" s="289"/>
    </row>
    <row r="254" spans="5:56" s="184" customFormat="1" x14ac:dyDescent="0.3">
      <c r="E254" s="288"/>
      <c r="F254" s="289"/>
      <c r="K254" s="289"/>
      <c r="N254" s="288"/>
      <c r="O254" s="288"/>
      <c r="P254" s="289"/>
      <c r="U254" s="289"/>
      <c r="Z254" s="289"/>
      <c r="AE254" s="289"/>
      <c r="AJ254" s="289"/>
      <c r="AO254" s="289"/>
      <c r="AT254" s="289"/>
      <c r="AY254" s="289"/>
      <c r="AZ254" s="186"/>
      <c r="BA254" s="186"/>
      <c r="BB254" s="186"/>
      <c r="BC254" s="186"/>
      <c r="BD254" s="289"/>
    </row>
    <row r="255" spans="5:56" s="184" customFormat="1" x14ac:dyDescent="0.3">
      <c r="E255" s="288"/>
      <c r="F255" s="289"/>
      <c r="K255" s="289"/>
      <c r="N255" s="288"/>
      <c r="O255" s="288"/>
      <c r="P255" s="289"/>
      <c r="U255" s="289"/>
      <c r="Z255" s="289"/>
      <c r="AE255" s="289"/>
      <c r="AJ255" s="289"/>
      <c r="AO255" s="289"/>
      <c r="AT255" s="289"/>
      <c r="AY255" s="289"/>
      <c r="AZ255" s="186"/>
      <c r="BA255" s="186"/>
      <c r="BB255" s="186"/>
      <c r="BC255" s="186"/>
      <c r="BD255" s="289"/>
    </row>
    <row r="256" spans="5:56" s="184" customFormat="1" x14ac:dyDescent="0.3">
      <c r="E256" s="288"/>
      <c r="F256" s="289"/>
      <c r="K256" s="289"/>
      <c r="N256" s="288"/>
      <c r="O256" s="288"/>
      <c r="P256" s="289"/>
      <c r="U256" s="289"/>
      <c r="Z256" s="289"/>
      <c r="AE256" s="289"/>
      <c r="AJ256" s="289"/>
      <c r="AO256" s="289"/>
      <c r="AT256" s="289"/>
      <c r="AY256" s="289"/>
      <c r="AZ256" s="186"/>
      <c r="BA256" s="186"/>
      <c r="BB256" s="186"/>
      <c r="BC256" s="186"/>
      <c r="BD256" s="289"/>
    </row>
    <row r="257" spans="5:56" s="184" customFormat="1" x14ac:dyDescent="0.3">
      <c r="E257" s="288"/>
      <c r="F257" s="289"/>
      <c r="K257" s="289"/>
      <c r="N257" s="288"/>
      <c r="O257" s="288"/>
      <c r="P257" s="289"/>
      <c r="U257" s="289"/>
      <c r="Z257" s="289"/>
      <c r="AE257" s="289"/>
      <c r="AJ257" s="289"/>
      <c r="AO257" s="289"/>
      <c r="AT257" s="289"/>
      <c r="AY257" s="289"/>
      <c r="AZ257" s="186"/>
      <c r="BA257" s="186"/>
      <c r="BB257" s="186"/>
      <c r="BC257" s="186"/>
      <c r="BD257" s="289"/>
    </row>
    <row r="258" spans="5:56" s="184" customFormat="1" x14ac:dyDescent="0.3">
      <c r="E258" s="288"/>
      <c r="F258" s="289"/>
      <c r="K258" s="289"/>
      <c r="N258" s="288"/>
      <c r="O258" s="288"/>
      <c r="P258" s="289"/>
      <c r="U258" s="289"/>
      <c r="Z258" s="289"/>
      <c r="AE258" s="289"/>
      <c r="AJ258" s="289"/>
      <c r="AO258" s="289"/>
      <c r="AT258" s="289"/>
      <c r="AY258" s="289"/>
      <c r="AZ258" s="186"/>
      <c r="BA258" s="186"/>
      <c r="BB258" s="186"/>
      <c r="BC258" s="186"/>
      <c r="BD258" s="289"/>
    </row>
    <row r="259" spans="5:56" s="184" customFormat="1" x14ac:dyDescent="0.3">
      <c r="E259" s="288"/>
      <c r="F259" s="289"/>
      <c r="K259" s="289"/>
      <c r="N259" s="288"/>
      <c r="O259" s="288"/>
      <c r="P259" s="289"/>
      <c r="U259" s="289"/>
      <c r="Z259" s="289"/>
      <c r="AE259" s="289"/>
      <c r="AJ259" s="289"/>
      <c r="AO259" s="289"/>
      <c r="AT259" s="289"/>
      <c r="AY259" s="289"/>
      <c r="AZ259" s="186"/>
      <c r="BA259" s="186"/>
      <c r="BB259" s="186"/>
      <c r="BC259" s="186"/>
      <c r="BD259" s="289"/>
    </row>
    <row r="260" spans="5:56" s="184" customFormat="1" x14ac:dyDescent="0.3">
      <c r="E260" s="288"/>
      <c r="F260" s="289"/>
      <c r="K260" s="289"/>
      <c r="N260" s="288"/>
      <c r="O260" s="288"/>
      <c r="P260" s="289"/>
      <c r="U260" s="289"/>
      <c r="Z260" s="289"/>
      <c r="AE260" s="289"/>
      <c r="AJ260" s="289"/>
      <c r="AO260" s="289"/>
      <c r="AT260" s="289"/>
      <c r="AY260" s="289"/>
      <c r="AZ260" s="186"/>
      <c r="BA260" s="186"/>
      <c r="BB260" s="186"/>
      <c r="BC260" s="186"/>
      <c r="BD260" s="289"/>
    </row>
    <row r="261" spans="5:56" s="184" customFormat="1" x14ac:dyDescent="0.3">
      <c r="E261" s="288"/>
      <c r="F261" s="289"/>
      <c r="K261" s="289"/>
      <c r="N261" s="288"/>
      <c r="O261" s="288"/>
      <c r="P261" s="289"/>
      <c r="U261" s="289"/>
      <c r="Z261" s="289"/>
      <c r="AE261" s="289"/>
      <c r="AJ261" s="289"/>
      <c r="AO261" s="289"/>
      <c r="AT261" s="289"/>
      <c r="AY261" s="289"/>
      <c r="AZ261" s="186"/>
      <c r="BA261" s="186"/>
      <c r="BB261" s="186"/>
      <c r="BC261" s="186"/>
      <c r="BD261" s="289"/>
    </row>
    <row r="262" spans="5:56" s="184" customFormat="1" x14ac:dyDescent="0.3">
      <c r="E262" s="288"/>
      <c r="F262" s="289"/>
      <c r="K262" s="289"/>
      <c r="N262" s="288"/>
      <c r="O262" s="288"/>
      <c r="P262" s="289"/>
      <c r="U262" s="289"/>
      <c r="Z262" s="289"/>
      <c r="AE262" s="289"/>
      <c r="AJ262" s="289"/>
      <c r="AO262" s="289"/>
      <c r="AT262" s="289"/>
      <c r="AY262" s="289"/>
      <c r="AZ262" s="186"/>
      <c r="BA262" s="186"/>
      <c r="BB262" s="186"/>
      <c r="BC262" s="186"/>
      <c r="BD262" s="289"/>
    </row>
    <row r="263" spans="5:56" s="184" customFormat="1" x14ac:dyDescent="0.3">
      <c r="E263" s="288"/>
      <c r="F263" s="289"/>
      <c r="K263" s="289"/>
      <c r="N263" s="288"/>
      <c r="O263" s="288"/>
      <c r="P263" s="289"/>
      <c r="U263" s="289"/>
      <c r="Z263" s="289"/>
      <c r="AE263" s="289"/>
      <c r="AJ263" s="289"/>
      <c r="AO263" s="289"/>
      <c r="AT263" s="289"/>
      <c r="AY263" s="289"/>
      <c r="AZ263" s="186"/>
      <c r="BA263" s="186"/>
      <c r="BB263" s="186"/>
      <c r="BC263" s="186"/>
      <c r="BD263" s="289"/>
    </row>
    <row r="264" spans="5:56" s="184" customFormat="1" x14ac:dyDescent="0.3">
      <c r="E264" s="288"/>
      <c r="F264" s="289"/>
      <c r="K264" s="289"/>
      <c r="N264" s="288"/>
      <c r="O264" s="288"/>
      <c r="P264" s="289"/>
      <c r="U264" s="289"/>
      <c r="Z264" s="289"/>
      <c r="AE264" s="289"/>
      <c r="AJ264" s="289"/>
      <c r="AO264" s="289"/>
      <c r="AT264" s="289"/>
      <c r="AY264" s="289"/>
      <c r="AZ264" s="186"/>
      <c r="BA264" s="186"/>
      <c r="BB264" s="186"/>
      <c r="BC264" s="186"/>
      <c r="BD264" s="289"/>
    </row>
    <row r="265" spans="5:56" s="184" customFormat="1" x14ac:dyDescent="0.3">
      <c r="E265" s="288"/>
      <c r="F265" s="289"/>
      <c r="K265" s="289"/>
      <c r="N265" s="288"/>
      <c r="O265" s="288"/>
      <c r="P265" s="289"/>
      <c r="U265" s="289"/>
      <c r="Z265" s="289"/>
      <c r="AE265" s="289"/>
      <c r="AJ265" s="289"/>
      <c r="AO265" s="289"/>
      <c r="AT265" s="289"/>
      <c r="AY265" s="289"/>
      <c r="AZ265" s="186"/>
      <c r="BA265" s="186"/>
      <c r="BB265" s="186"/>
      <c r="BC265" s="186"/>
      <c r="BD265" s="289"/>
    </row>
    <row r="266" spans="5:56" s="184" customFormat="1" x14ac:dyDescent="0.3">
      <c r="E266" s="288"/>
      <c r="F266" s="289"/>
      <c r="K266" s="289"/>
      <c r="N266" s="288"/>
      <c r="O266" s="288"/>
      <c r="P266" s="289"/>
      <c r="U266" s="289"/>
      <c r="Z266" s="289"/>
      <c r="AE266" s="289"/>
      <c r="AJ266" s="289"/>
      <c r="AO266" s="289"/>
      <c r="AT266" s="289"/>
      <c r="AY266" s="289"/>
      <c r="AZ266" s="186"/>
      <c r="BA266" s="186"/>
      <c r="BB266" s="186"/>
      <c r="BC266" s="186"/>
      <c r="BD266" s="289"/>
    </row>
    <row r="267" spans="5:56" s="184" customFormat="1" x14ac:dyDescent="0.3">
      <c r="E267" s="288"/>
      <c r="F267" s="289"/>
      <c r="K267" s="289"/>
      <c r="N267" s="288"/>
      <c r="O267" s="288"/>
      <c r="P267" s="289"/>
      <c r="U267" s="289"/>
      <c r="Z267" s="289"/>
      <c r="AE267" s="289"/>
      <c r="AJ267" s="289"/>
      <c r="AO267" s="289"/>
      <c r="AT267" s="289"/>
      <c r="AY267" s="289"/>
      <c r="AZ267" s="186"/>
      <c r="BA267" s="186"/>
      <c r="BB267" s="186"/>
      <c r="BC267" s="186"/>
      <c r="BD267" s="289"/>
    </row>
    <row r="268" spans="5:56" s="184" customFormat="1" x14ac:dyDescent="0.3">
      <c r="E268" s="288"/>
      <c r="F268" s="289"/>
      <c r="K268" s="289"/>
      <c r="N268" s="288"/>
      <c r="O268" s="288"/>
      <c r="P268" s="289"/>
      <c r="U268" s="289"/>
      <c r="Z268" s="289"/>
      <c r="AE268" s="289"/>
      <c r="AJ268" s="289"/>
      <c r="AO268" s="289"/>
      <c r="AT268" s="289"/>
      <c r="AY268" s="289"/>
      <c r="AZ268" s="186"/>
      <c r="BA268" s="186"/>
      <c r="BB268" s="186"/>
      <c r="BC268" s="186"/>
      <c r="BD268" s="289"/>
    </row>
    <row r="269" spans="5:56" s="184" customFormat="1" x14ac:dyDescent="0.3">
      <c r="E269" s="288"/>
      <c r="F269" s="289"/>
      <c r="K269" s="289"/>
      <c r="N269" s="288"/>
      <c r="O269" s="288"/>
      <c r="P269" s="289"/>
      <c r="U269" s="289"/>
      <c r="Z269" s="289"/>
      <c r="AE269" s="289"/>
      <c r="AJ269" s="289"/>
      <c r="AO269" s="289"/>
      <c r="AT269" s="289"/>
      <c r="AY269" s="289"/>
      <c r="AZ269" s="186"/>
      <c r="BA269" s="186"/>
      <c r="BB269" s="186"/>
      <c r="BC269" s="186"/>
      <c r="BD269" s="289"/>
    </row>
    <row r="270" spans="5:56" s="184" customFormat="1" x14ac:dyDescent="0.3">
      <c r="E270" s="288"/>
      <c r="F270" s="289"/>
      <c r="K270" s="289"/>
      <c r="N270" s="288"/>
      <c r="O270" s="288"/>
      <c r="P270" s="289"/>
      <c r="U270" s="289"/>
      <c r="Z270" s="289"/>
      <c r="AE270" s="289"/>
      <c r="AJ270" s="289"/>
      <c r="AO270" s="289"/>
      <c r="AT270" s="289"/>
      <c r="AY270" s="289"/>
      <c r="AZ270" s="186"/>
      <c r="BA270" s="186"/>
      <c r="BB270" s="186"/>
      <c r="BC270" s="186"/>
      <c r="BD270" s="289"/>
    </row>
    <row r="271" spans="5:56" s="184" customFormat="1" x14ac:dyDescent="0.3">
      <c r="E271" s="288"/>
      <c r="F271" s="289"/>
      <c r="K271" s="289"/>
      <c r="N271" s="288"/>
      <c r="O271" s="288"/>
      <c r="P271" s="289"/>
      <c r="U271" s="289"/>
      <c r="Z271" s="289"/>
      <c r="AE271" s="289"/>
      <c r="AJ271" s="289"/>
      <c r="AO271" s="289"/>
      <c r="AT271" s="289"/>
      <c r="AY271" s="289"/>
      <c r="AZ271" s="186"/>
      <c r="BA271" s="186"/>
      <c r="BB271" s="186"/>
      <c r="BC271" s="186"/>
      <c r="BD271" s="289"/>
    </row>
    <row r="272" spans="5:56" s="184" customFormat="1" x14ac:dyDescent="0.3">
      <c r="E272" s="288"/>
      <c r="F272" s="289"/>
      <c r="K272" s="289"/>
      <c r="N272" s="288"/>
      <c r="O272" s="288"/>
      <c r="P272" s="289"/>
      <c r="U272" s="289"/>
      <c r="Z272" s="289"/>
      <c r="AE272" s="289"/>
      <c r="AJ272" s="289"/>
      <c r="AO272" s="289"/>
      <c r="AT272" s="289"/>
      <c r="AY272" s="289"/>
      <c r="AZ272" s="186"/>
      <c r="BA272" s="186"/>
      <c r="BB272" s="186"/>
      <c r="BC272" s="186"/>
      <c r="BD272" s="289"/>
    </row>
    <row r="273" spans="5:56" s="184" customFormat="1" x14ac:dyDescent="0.3">
      <c r="E273" s="288"/>
      <c r="F273" s="289"/>
      <c r="K273" s="289"/>
      <c r="N273" s="288"/>
      <c r="O273" s="288"/>
      <c r="P273" s="289"/>
      <c r="U273" s="289"/>
      <c r="Z273" s="289"/>
      <c r="AE273" s="289"/>
      <c r="AJ273" s="289"/>
      <c r="AO273" s="289"/>
      <c r="AT273" s="289"/>
      <c r="AY273" s="289"/>
      <c r="AZ273" s="186"/>
      <c r="BA273" s="186"/>
      <c r="BB273" s="186"/>
      <c r="BC273" s="186"/>
      <c r="BD273" s="289"/>
    </row>
    <row r="274" spans="5:56" s="184" customFormat="1" x14ac:dyDescent="0.3">
      <c r="E274" s="288"/>
      <c r="F274" s="289"/>
      <c r="K274" s="289"/>
      <c r="N274" s="288"/>
      <c r="O274" s="288"/>
      <c r="P274" s="289"/>
      <c r="U274" s="289"/>
      <c r="Z274" s="289"/>
      <c r="AE274" s="289"/>
      <c r="AJ274" s="289"/>
      <c r="AO274" s="289"/>
      <c r="AT274" s="289"/>
      <c r="AY274" s="289"/>
      <c r="AZ274" s="186"/>
      <c r="BA274" s="186"/>
      <c r="BB274" s="186"/>
      <c r="BC274" s="186"/>
      <c r="BD274" s="289"/>
    </row>
    <row r="275" spans="5:56" s="184" customFormat="1" x14ac:dyDescent="0.3">
      <c r="E275" s="288"/>
      <c r="F275" s="289"/>
      <c r="K275" s="289"/>
      <c r="N275" s="288"/>
      <c r="O275" s="288"/>
      <c r="P275" s="289"/>
      <c r="U275" s="289"/>
      <c r="Z275" s="289"/>
      <c r="AE275" s="289"/>
      <c r="AJ275" s="289"/>
      <c r="AO275" s="289"/>
      <c r="AT275" s="289"/>
      <c r="AY275" s="289"/>
      <c r="AZ275" s="186"/>
      <c r="BA275" s="186"/>
      <c r="BB275" s="186"/>
      <c r="BC275" s="186"/>
      <c r="BD275" s="289"/>
    </row>
    <row r="276" spans="5:56" s="184" customFormat="1" x14ac:dyDescent="0.3">
      <c r="E276" s="288"/>
      <c r="F276" s="289"/>
      <c r="K276" s="289"/>
      <c r="N276" s="288"/>
      <c r="O276" s="288"/>
      <c r="P276" s="289"/>
      <c r="U276" s="289"/>
      <c r="Z276" s="289"/>
      <c r="AE276" s="289"/>
      <c r="AJ276" s="289"/>
      <c r="AO276" s="289"/>
      <c r="AT276" s="289"/>
      <c r="AY276" s="289"/>
      <c r="AZ276" s="186"/>
      <c r="BA276" s="186"/>
      <c r="BB276" s="186"/>
      <c r="BC276" s="186"/>
      <c r="BD276" s="289"/>
    </row>
    <row r="277" spans="5:56" s="184" customFormat="1" x14ac:dyDescent="0.3">
      <c r="E277" s="288"/>
      <c r="F277" s="289"/>
      <c r="K277" s="289"/>
      <c r="N277" s="288"/>
      <c r="O277" s="288"/>
      <c r="P277" s="289"/>
      <c r="U277" s="289"/>
      <c r="Z277" s="289"/>
      <c r="AE277" s="289"/>
      <c r="AJ277" s="289"/>
      <c r="AO277" s="289"/>
      <c r="AT277" s="289"/>
      <c r="AY277" s="289"/>
      <c r="AZ277" s="186"/>
      <c r="BA277" s="186"/>
      <c r="BB277" s="186"/>
      <c r="BC277" s="186"/>
      <c r="BD277" s="289"/>
    </row>
    <row r="278" spans="5:56" s="184" customFormat="1" x14ac:dyDescent="0.3">
      <c r="E278" s="288"/>
      <c r="F278" s="289"/>
      <c r="K278" s="289"/>
      <c r="N278" s="288"/>
      <c r="O278" s="288"/>
      <c r="P278" s="289"/>
      <c r="U278" s="289"/>
      <c r="Z278" s="289"/>
      <c r="AE278" s="289"/>
      <c r="AJ278" s="289"/>
      <c r="AO278" s="289"/>
      <c r="AT278" s="289"/>
      <c r="AY278" s="289"/>
      <c r="AZ278" s="186"/>
      <c r="BA278" s="186"/>
      <c r="BB278" s="186"/>
      <c r="BC278" s="186"/>
      <c r="BD278" s="289"/>
    </row>
    <row r="279" spans="5:56" s="184" customFormat="1" x14ac:dyDescent="0.3">
      <c r="E279" s="288"/>
      <c r="F279" s="289"/>
      <c r="K279" s="289"/>
      <c r="N279" s="288"/>
      <c r="O279" s="288"/>
      <c r="P279" s="289"/>
      <c r="U279" s="289"/>
      <c r="Z279" s="289"/>
      <c r="AE279" s="289"/>
      <c r="AJ279" s="289"/>
      <c r="AO279" s="289"/>
      <c r="AT279" s="289"/>
      <c r="AY279" s="289"/>
      <c r="AZ279" s="186"/>
      <c r="BA279" s="186"/>
      <c r="BB279" s="186"/>
      <c r="BC279" s="186"/>
      <c r="BD279" s="289"/>
    </row>
    <row r="280" spans="5:56" s="184" customFormat="1" x14ac:dyDescent="0.3">
      <c r="E280" s="288"/>
      <c r="F280" s="289"/>
      <c r="K280" s="289"/>
      <c r="N280" s="288"/>
      <c r="O280" s="288"/>
      <c r="P280" s="289"/>
      <c r="U280" s="289"/>
      <c r="Z280" s="289"/>
      <c r="AE280" s="289"/>
      <c r="AJ280" s="289"/>
      <c r="AO280" s="289"/>
      <c r="AT280" s="289"/>
      <c r="AY280" s="289"/>
      <c r="AZ280" s="186"/>
      <c r="BA280" s="186"/>
      <c r="BB280" s="186"/>
      <c r="BC280" s="186"/>
      <c r="BD280" s="289"/>
    </row>
    <row r="281" spans="5:56" s="184" customFormat="1" x14ac:dyDescent="0.3">
      <c r="E281" s="288"/>
      <c r="F281" s="289"/>
      <c r="K281" s="289"/>
      <c r="N281" s="288"/>
      <c r="O281" s="288"/>
      <c r="P281" s="289"/>
      <c r="U281" s="289"/>
      <c r="Z281" s="289"/>
      <c r="AE281" s="289"/>
      <c r="AJ281" s="289"/>
      <c r="AO281" s="289"/>
      <c r="AT281" s="289"/>
      <c r="AY281" s="289"/>
      <c r="AZ281" s="186"/>
      <c r="BA281" s="186"/>
      <c r="BB281" s="186"/>
      <c r="BC281" s="186"/>
      <c r="BD281" s="289"/>
    </row>
    <row r="282" spans="5:56" s="184" customFormat="1" x14ac:dyDescent="0.3">
      <c r="E282" s="288"/>
      <c r="F282" s="289"/>
      <c r="K282" s="289"/>
      <c r="N282" s="288"/>
      <c r="O282" s="288"/>
      <c r="P282" s="289"/>
      <c r="U282" s="289"/>
      <c r="Z282" s="289"/>
      <c r="AE282" s="289"/>
      <c r="AJ282" s="289"/>
      <c r="AO282" s="289"/>
      <c r="AT282" s="289"/>
      <c r="AY282" s="289"/>
      <c r="AZ282" s="186"/>
      <c r="BA282" s="186"/>
      <c r="BB282" s="186"/>
      <c r="BC282" s="186"/>
      <c r="BD282" s="289"/>
    </row>
    <row r="283" spans="5:56" s="184" customFormat="1" x14ac:dyDescent="0.3">
      <c r="E283" s="288"/>
      <c r="F283" s="289"/>
      <c r="K283" s="289"/>
      <c r="N283" s="288"/>
      <c r="O283" s="288"/>
      <c r="P283" s="289"/>
      <c r="U283" s="289"/>
      <c r="Z283" s="289"/>
      <c r="AE283" s="289"/>
      <c r="AJ283" s="289"/>
      <c r="AO283" s="289"/>
      <c r="AT283" s="289"/>
      <c r="AY283" s="289"/>
      <c r="AZ283" s="186"/>
      <c r="BA283" s="186"/>
      <c r="BB283" s="186"/>
      <c r="BC283" s="186"/>
      <c r="BD283" s="289"/>
    </row>
    <row r="284" spans="5:56" s="184" customFormat="1" x14ac:dyDescent="0.3">
      <c r="E284" s="288"/>
      <c r="F284" s="289"/>
      <c r="K284" s="289"/>
      <c r="N284" s="288"/>
      <c r="O284" s="288"/>
      <c r="P284" s="289"/>
      <c r="U284" s="289"/>
      <c r="Z284" s="289"/>
      <c r="AE284" s="289"/>
      <c r="AJ284" s="289"/>
      <c r="AO284" s="289"/>
      <c r="AT284" s="289"/>
      <c r="AY284" s="289"/>
      <c r="AZ284" s="186"/>
      <c r="BA284" s="186"/>
      <c r="BB284" s="186"/>
      <c r="BC284" s="186"/>
      <c r="BD284" s="289"/>
    </row>
    <row r="285" spans="5:56" s="184" customFormat="1" x14ac:dyDescent="0.3">
      <c r="E285" s="288"/>
      <c r="F285" s="289"/>
      <c r="K285" s="289"/>
      <c r="N285" s="288"/>
      <c r="O285" s="288"/>
      <c r="P285" s="289"/>
      <c r="U285" s="289"/>
      <c r="Z285" s="289"/>
      <c r="AE285" s="289"/>
      <c r="AJ285" s="289"/>
      <c r="AO285" s="289"/>
      <c r="AT285" s="289"/>
      <c r="AY285" s="289"/>
      <c r="AZ285" s="186"/>
      <c r="BA285" s="186"/>
      <c r="BB285" s="186"/>
      <c r="BC285" s="186"/>
      <c r="BD285" s="289"/>
    </row>
    <row r="286" spans="5:56" s="184" customFormat="1" x14ac:dyDescent="0.3">
      <c r="E286" s="288"/>
      <c r="F286" s="289"/>
      <c r="K286" s="289"/>
      <c r="N286" s="288"/>
      <c r="O286" s="288"/>
      <c r="P286" s="289"/>
      <c r="U286" s="289"/>
      <c r="Z286" s="289"/>
      <c r="AE286" s="289"/>
      <c r="AJ286" s="289"/>
      <c r="AO286" s="289"/>
      <c r="AT286" s="289"/>
      <c r="AY286" s="289"/>
      <c r="AZ286" s="186"/>
      <c r="BA286" s="186"/>
      <c r="BB286" s="186"/>
      <c r="BC286" s="186"/>
      <c r="BD286" s="289"/>
    </row>
    <row r="287" spans="5:56" s="184" customFormat="1" x14ac:dyDescent="0.3">
      <c r="E287" s="288"/>
      <c r="F287" s="289"/>
      <c r="K287" s="289"/>
      <c r="N287" s="288"/>
      <c r="O287" s="288"/>
      <c r="P287" s="289"/>
      <c r="U287" s="289"/>
      <c r="Z287" s="289"/>
      <c r="AE287" s="289"/>
      <c r="AJ287" s="289"/>
      <c r="AO287" s="289"/>
      <c r="AT287" s="289"/>
      <c r="AY287" s="289"/>
      <c r="AZ287" s="186"/>
      <c r="BA287" s="186"/>
      <c r="BB287" s="186"/>
      <c r="BC287" s="186"/>
      <c r="BD287" s="289"/>
    </row>
    <row r="288" spans="5:56" s="184" customFormat="1" x14ac:dyDescent="0.3">
      <c r="E288" s="288"/>
      <c r="F288" s="289"/>
      <c r="K288" s="289"/>
      <c r="N288" s="288"/>
      <c r="O288" s="288"/>
      <c r="P288" s="289"/>
      <c r="U288" s="289"/>
      <c r="Z288" s="289"/>
      <c r="AE288" s="289"/>
      <c r="AJ288" s="289"/>
      <c r="AO288" s="289"/>
      <c r="AT288" s="289"/>
      <c r="AY288" s="289"/>
      <c r="AZ288" s="186"/>
      <c r="BA288" s="186"/>
      <c r="BB288" s="186"/>
      <c r="BC288" s="186"/>
      <c r="BD288" s="289"/>
    </row>
    <row r="289" spans="5:56" s="184" customFormat="1" x14ac:dyDescent="0.3">
      <c r="E289" s="288"/>
      <c r="F289" s="289"/>
      <c r="K289" s="289"/>
      <c r="N289" s="288"/>
      <c r="O289" s="288"/>
      <c r="P289" s="289"/>
      <c r="U289" s="289"/>
      <c r="Z289" s="289"/>
      <c r="AE289" s="289"/>
      <c r="AJ289" s="289"/>
      <c r="AO289" s="289"/>
      <c r="AT289" s="289"/>
      <c r="AY289" s="289"/>
      <c r="AZ289" s="186"/>
      <c r="BA289" s="186"/>
      <c r="BB289" s="186"/>
      <c r="BC289" s="186"/>
      <c r="BD289" s="289"/>
    </row>
    <row r="290" spans="5:56" s="184" customFormat="1" x14ac:dyDescent="0.3">
      <c r="E290" s="288"/>
      <c r="F290" s="289"/>
      <c r="K290" s="289"/>
      <c r="N290" s="288"/>
      <c r="O290" s="288"/>
      <c r="P290" s="289"/>
      <c r="U290" s="289"/>
      <c r="Z290" s="289"/>
      <c r="AE290" s="289"/>
      <c r="AJ290" s="289"/>
      <c r="AO290" s="289"/>
      <c r="AT290" s="289"/>
      <c r="AY290" s="289"/>
      <c r="AZ290" s="186"/>
      <c r="BA290" s="186"/>
      <c r="BB290" s="186"/>
      <c r="BC290" s="186"/>
      <c r="BD290" s="289"/>
    </row>
    <row r="291" spans="5:56" s="184" customFormat="1" x14ac:dyDescent="0.3">
      <c r="E291" s="288"/>
      <c r="F291" s="289"/>
      <c r="K291" s="289"/>
      <c r="N291" s="288"/>
      <c r="O291" s="288"/>
      <c r="P291" s="289"/>
      <c r="U291" s="289"/>
      <c r="Z291" s="289"/>
      <c r="AE291" s="289"/>
      <c r="AJ291" s="289"/>
      <c r="AO291" s="289"/>
      <c r="AT291" s="289"/>
      <c r="AY291" s="289"/>
      <c r="AZ291" s="186"/>
      <c r="BA291" s="186"/>
      <c r="BB291" s="186"/>
      <c r="BC291" s="186"/>
      <c r="BD291" s="289"/>
    </row>
    <row r="292" spans="5:56" s="184" customFormat="1" x14ac:dyDescent="0.3">
      <c r="E292" s="288"/>
      <c r="F292" s="289"/>
      <c r="K292" s="289"/>
      <c r="N292" s="288"/>
      <c r="O292" s="288"/>
      <c r="P292" s="289"/>
      <c r="U292" s="289"/>
      <c r="Z292" s="289"/>
      <c r="AE292" s="289"/>
      <c r="AJ292" s="289"/>
      <c r="AO292" s="289"/>
      <c r="AT292" s="289"/>
      <c r="AY292" s="289"/>
      <c r="AZ292" s="186"/>
      <c r="BA292" s="186"/>
      <c r="BB292" s="186"/>
      <c r="BC292" s="186"/>
      <c r="BD292" s="289"/>
    </row>
  </sheetData>
  <mergeCells count="375">
    <mergeCell ref="AZ49:BC49"/>
    <mergeCell ref="AF48:AI48"/>
    <mergeCell ref="AK48:AN48"/>
    <mergeCell ref="AP48:AS48"/>
    <mergeCell ref="AU48:AX48"/>
    <mergeCell ref="AZ48:BC48"/>
    <mergeCell ref="A57:AA57"/>
    <mergeCell ref="AF50:AI50"/>
    <mergeCell ref="AK50:AN50"/>
    <mergeCell ref="AP50:AS50"/>
    <mergeCell ref="AU50:AX50"/>
    <mergeCell ref="AZ50:BC50"/>
    <mergeCell ref="B51:E51"/>
    <mergeCell ref="B50:E50"/>
    <mergeCell ref="G50:J50"/>
    <mergeCell ref="L50:O50"/>
    <mergeCell ref="Q50:T50"/>
    <mergeCell ref="V50:Y50"/>
    <mergeCell ref="AA50:AD50"/>
    <mergeCell ref="B49:E49"/>
    <mergeCell ref="G49:J49"/>
    <mergeCell ref="L49:O49"/>
    <mergeCell ref="Q49:T49"/>
    <mergeCell ref="V49:Y49"/>
    <mergeCell ref="AF47:AI47"/>
    <mergeCell ref="AK47:AN47"/>
    <mergeCell ref="AP47:AS47"/>
    <mergeCell ref="AU47:AX47"/>
    <mergeCell ref="AA49:AD49"/>
    <mergeCell ref="AF49:AI49"/>
    <mergeCell ref="AK49:AN49"/>
    <mergeCell ref="AP49:AS49"/>
    <mergeCell ref="AU49:AX49"/>
    <mergeCell ref="AZ47:BC47"/>
    <mergeCell ref="B48:E48"/>
    <mergeCell ref="L48:O48"/>
    <mergeCell ref="Q48:T48"/>
    <mergeCell ref="V48:Y48"/>
    <mergeCell ref="AA48:AD48"/>
    <mergeCell ref="AF46:AI46"/>
    <mergeCell ref="AK46:AN46"/>
    <mergeCell ref="AP46:AS46"/>
    <mergeCell ref="AU46:AX46"/>
    <mergeCell ref="AZ46:BC46"/>
    <mergeCell ref="B47:E47"/>
    <mergeCell ref="L47:O47"/>
    <mergeCell ref="Q47:T47"/>
    <mergeCell ref="V47:Y47"/>
    <mergeCell ref="AA47:AD47"/>
    <mergeCell ref="AK45:AN45"/>
    <mergeCell ref="AP45:AS45"/>
    <mergeCell ref="AU45:AX45"/>
    <mergeCell ref="AZ45:BC45"/>
    <mergeCell ref="B46:E46"/>
    <mergeCell ref="G46:J46"/>
    <mergeCell ref="L46:O46"/>
    <mergeCell ref="Q46:T46"/>
    <mergeCell ref="V46:Y46"/>
    <mergeCell ref="AA46:AD46"/>
    <mergeCell ref="B45:E45"/>
    <mergeCell ref="L45:O45"/>
    <mergeCell ref="Q45:T45"/>
    <mergeCell ref="V45:Y45"/>
    <mergeCell ref="AA45:AD45"/>
    <mergeCell ref="AF45:AI45"/>
    <mergeCell ref="AA44:AC44"/>
    <mergeCell ref="AF44:AH44"/>
    <mergeCell ref="AK44:AM44"/>
    <mergeCell ref="AP44:AR44"/>
    <mergeCell ref="AU44:AW44"/>
    <mergeCell ref="AZ44:BB44"/>
    <mergeCell ref="AF43:AG43"/>
    <mergeCell ref="AK43:AL43"/>
    <mergeCell ref="AP43:AQ43"/>
    <mergeCell ref="AU43:AV43"/>
    <mergeCell ref="AZ43:BA43"/>
    <mergeCell ref="AA43:AB43"/>
    <mergeCell ref="B44:D44"/>
    <mergeCell ref="G44:I44"/>
    <mergeCell ref="L44:N44"/>
    <mergeCell ref="Q44:S44"/>
    <mergeCell ref="V44:X44"/>
    <mergeCell ref="B43:C43"/>
    <mergeCell ref="G43:H43"/>
    <mergeCell ref="L43:M43"/>
    <mergeCell ref="Q43:R43"/>
    <mergeCell ref="V43:W43"/>
    <mergeCell ref="AA42:AB42"/>
    <mergeCell ref="AF42:AG42"/>
    <mergeCell ref="AK42:AL42"/>
    <mergeCell ref="AP42:AQ42"/>
    <mergeCell ref="AU42:AV42"/>
    <mergeCell ref="AZ42:BA42"/>
    <mergeCell ref="AF41:AG41"/>
    <mergeCell ref="AK41:AL41"/>
    <mergeCell ref="AP41:AQ41"/>
    <mergeCell ref="AU41:AV41"/>
    <mergeCell ref="AZ41:BA41"/>
    <mergeCell ref="AA41:AB41"/>
    <mergeCell ref="B42:C42"/>
    <mergeCell ref="G42:H42"/>
    <mergeCell ref="L42:M42"/>
    <mergeCell ref="Q42:R42"/>
    <mergeCell ref="V42:W42"/>
    <mergeCell ref="B41:C41"/>
    <mergeCell ref="G41:H41"/>
    <mergeCell ref="L41:M41"/>
    <mergeCell ref="Q41:R41"/>
    <mergeCell ref="V41:W41"/>
    <mergeCell ref="V39:W39"/>
    <mergeCell ref="AA39:AB39"/>
    <mergeCell ref="AA40:AB40"/>
    <mergeCell ref="AF40:AG40"/>
    <mergeCell ref="AK40:AL40"/>
    <mergeCell ref="AP40:AQ40"/>
    <mergeCell ref="AU40:AV40"/>
    <mergeCell ref="AZ40:BA40"/>
    <mergeCell ref="AF39:AG39"/>
    <mergeCell ref="AK39:AL39"/>
    <mergeCell ref="AP39:AQ39"/>
    <mergeCell ref="AU39:AV39"/>
    <mergeCell ref="AZ39:BA39"/>
    <mergeCell ref="AA37:AB37"/>
    <mergeCell ref="AF37:AG37"/>
    <mergeCell ref="AK37:AL37"/>
    <mergeCell ref="AP37:AQ37"/>
    <mergeCell ref="AU37:AV37"/>
    <mergeCell ref="AZ37:BA37"/>
    <mergeCell ref="B38:C38"/>
    <mergeCell ref="G38:H38"/>
    <mergeCell ref="L38:M38"/>
    <mergeCell ref="Q38:R38"/>
    <mergeCell ref="V38:W38"/>
    <mergeCell ref="AA38:AB38"/>
    <mergeCell ref="AF38:AG38"/>
    <mergeCell ref="AK38:AL38"/>
    <mergeCell ref="AP38:AQ38"/>
    <mergeCell ref="AU38:AV38"/>
    <mergeCell ref="AZ38:BA38"/>
    <mergeCell ref="AZ35:BA35"/>
    <mergeCell ref="B36:C36"/>
    <mergeCell ref="G36:H36"/>
    <mergeCell ref="L36:M36"/>
    <mergeCell ref="Q36:R36"/>
    <mergeCell ref="V36:W36"/>
    <mergeCell ref="AA36:AB36"/>
    <mergeCell ref="AF36:AG36"/>
    <mergeCell ref="AK36:AL36"/>
    <mergeCell ref="AP36:AQ36"/>
    <mergeCell ref="V35:W35"/>
    <mergeCell ref="AA35:AB35"/>
    <mergeCell ref="AF35:AG35"/>
    <mergeCell ref="AK35:AL35"/>
    <mergeCell ref="AP35:AQ35"/>
    <mergeCell ref="AU35:AV35"/>
    <mergeCell ref="AU36:AV36"/>
    <mergeCell ref="AZ36:BA36"/>
    <mergeCell ref="A34:A43"/>
    <mergeCell ref="B34:C34"/>
    <mergeCell ref="G34:H34"/>
    <mergeCell ref="L34:M34"/>
    <mergeCell ref="Q34:R34"/>
    <mergeCell ref="V34:W34"/>
    <mergeCell ref="B35:C35"/>
    <mergeCell ref="G35:H35"/>
    <mergeCell ref="L35:M35"/>
    <mergeCell ref="Q35:R35"/>
    <mergeCell ref="B37:C37"/>
    <mergeCell ref="G37:H37"/>
    <mergeCell ref="L37:M37"/>
    <mergeCell ref="Q37:R37"/>
    <mergeCell ref="V37:W37"/>
    <mergeCell ref="B40:C40"/>
    <mergeCell ref="G40:H40"/>
    <mergeCell ref="L40:M40"/>
    <mergeCell ref="Q40:R40"/>
    <mergeCell ref="V40:W40"/>
    <mergeCell ref="B39:C39"/>
    <mergeCell ref="G39:H39"/>
    <mergeCell ref="L39:M39"/>
    <mergeCell ref="Q39:R39"/>
    <mergeCell ref="AZ33:BA33"/>
    <mergeCell ref="AF32:AI32"/>
    <mergeCell ref="AK32:AN32"/>
    <mergeCell ref="AP32:AS32"/>
    <mergeCell ref="AU32:AX32"/>
    <mergeCell ref="AZ32:BC32"/>
    <mergeCell ref="AA34:AB34"/>
    <mergeCell ref="AF34:AG34"/>
    <mergeCell ref="AK34:AL34"/>
    <mergeCell ref="AP34:AQ34"/>
    <mergeCell ref="AU34:AV34"/>
    <mergeCell ref="AZ34:BA34"/>
    <mergeCell ref="B33:C33"/>
    <mergeCell ref="G33:H33"/>
    <mergeCell ref="L33:M33"/>
    <mergeCell ref="Q33:R33"/>
    <mergeCell ref="V33:W33"/>
    <mergeCell ref="AF24:AI24"/>
    <mergeCell ref="AK24:AN24"/>
    <mergeCell ref="AP24:AS24"/>
    <mergeCell ref="AU24:AX24"/>
    <mergeCell ref="AA33:AB33"/>
    <mergeCell ref="AF33:AG33"/>
    <mergeCell ref="AK33:AL33"/>
    <mergeCell ref="AP33:AQ33"/>
    <mergeCell ref="AU33:AV33"/>
    <mergeCell ref="AZ24:BC24"/>
    <mergeCell ref="B32:E32"/>
    <mergeCell ref="L32:O32"/>
    <mergeCell ref="Q32:T32"/>
    <mergeCell ref="V32:Y32"/>
    <mergeCell ref="AA32:AD32"/>
    <mergeCell ref="B24:E24"/>
    <mergeCell ref="G24:J24"/>
    <mergeCell ref="L24:O24"/>
    <mergeCell ref="Q24:T24"/>
    <mergeCell ref="V24:Y24"/>
    <mergeCell ref="AA24:AD24"/>
    <mergeCell ref="AP15:AS15"/>
    <mergeCell ref="AU15:AX15"/>
    <mergeCell ref="AZ15:BC15"/>
    <mergeCell ref="AU14:AV14"/>
    <mergeCell ref="AW14:AX14"/>
    <mergeCell ref="AZ14:BA14"/>
    <mergeCell ref="BB14:BC14"/>
    <mergeCell ref="AM14:AN14"/>
    <mergeCell ref="AP14:AQ14"/>
    <mergeCell ref="AR14:AS14"/>
    <mergeCell ref="A15:A16"/>
    <mergeCell ref="B15:E15"/>
    <mergeCell ref="G15:J15"/>
    <mergeCell ref="L15:O15"/>
    <mergeCell ref="Q15:T15"/>
    <mergeCell ref="V15:Y15"/>
    <mergeCell ref="AF14:AG14"/>
    <mergeCell ref="AH14:AI14"/>
    <mergeCell ref="AK14:AL14"/>
    <mergeCell ref="Q14:R14"/>
    <mergeCell ref="S14:T14"/>
    <mergeCell ref="V14:W14"/>
    <mergeCell ref="X14:Y14"/>
    <mergeCell ref="AA14:AB14"/>
    <mergeCell ref="AC14:AD14"/>
    <mergeCell ref="AA15:AD15"/>
    <mergeCell ref="AF15:AI15"/>
    <mergeCell ref="AK15:AN15"/>
    <mergeCell ref="B14:C14"/>
    <mergeCell ref="D14:E14"/>
    <mergeCell ref="G14:J14"/>
    <mergeCell ref="L14:M14"/>
    <mergeCell ref="N14:O14"/>
    <mergeCell ref="AC12:AD13"/>
    <mergeCell ref="AF12:AG13"/>
    <mergeCell ref="AH12:AI13"/>
    <mergeCell ref="AK12:AL13"/>
    <mergeCell ref="N12:O13"/>
    <mergeCell ref="Q12:R13"/>
    <mergeCell ref="S12:T13"/>
    <mergeCell ref="V12:W13"/>
    <mergeCell ref="X12:Y13"/>
    <mergeCell ref="AA12:AB13"/>
    <mergeCell ref="AF11:AI11"/>
    <mergeCell ref="AK11:AN11"/>
    <mergeCell ref="AP11:AS11"/>
    <mergeCell ref="AU11:AX11"/>
    <mergeCell ref="AZ11:BC11"/>
    <mergeCell ref="A12:A13"/>
    <mergeCell ref="B12:C13"/>
    <mergeCell ref="D12:E13"/>
    <mergeCell ref="G12:J13"/>
    <mergeCell ref="L12:M13"/>
    <mergeCell ref="B11:E11"/>
    <mergeCell ref="G11:J11"/>
    <mergeCell ref="L11:O11"/>
    <mergeCell ref="Q11:T11"/>
    <mergeCell ref="V11:Y11"/>
    <mergeCell ref="AA11:AD11"/>
    <mergeCell ref="AR12:AS13"/>
    <mergeCell ref="AU12:AV13"/>
    <mergeCell ref="AW12:AX13"/>
    <mergeCell ref="AZ12:BA13"/>
    <mergeCell ref="BB12:BC13"/>
    <mergeCell ref="AM12:AN13"/>
    <mergeCell ref="AP12:AQ13"/>
    <mergeCell ref="AA10:AD10"/>
    <mergeCell ref="AF10:AI10"/>
    <mergeCell ref="AK10:AN10"/>
    <mergeCell ref="AP10:AS10"/>
    <mergeCell ref="AU10:AX10"/>
    <mergeCell ref="AZ10:BC10"/>
    <mergeCell ref="AF9:AI9"/>
    <mergeCell ref="AK9:AN9"/>
    <mergeCell ref="AP9:AS9"/>
    <mergeCell ref="AU9:AX9"/>
    <mergeCell ref="AZ9:BC9"/>
    <mergeCell ref="AA9:AD9"/>
    <mergeCell ref="B10:E10"/>
    <mergeCell ref="G10:J10"/>
    <mergeCell ref="L10:O10"/>
    <mergeCell ref="Q10:T10"/>
    <mergeCell ref="V10:Y10"/>
    <mergeCell ref="B9:E9"/>
    <mergeCell ref="G9:J9"/>
    <mergeCell ref="L9:O9"/>
    <mergeCell ref="Q9:T9"/>
    <mergeCell ref="V9:Y9"/>
    <mergeCell ref="AA8:AD8"/>
    <mergeCell ref="AF8:AI8"/>
    <mergeCell ref="AK8:AN8"/>
    <mergeCell ref="AP8:AS8"/>
    <mergeCell ref="AU8:AX8"/>
    <mergeCell ref="AZ8:BC8"/>
    <mergeCell ref="AF7:AI7"/>
    <mergeCell ref="AK7:AN7"/>
    <mergeCell ref="AP7:AS7"/>
    <mergeCell ref="AU7:AX7"/>
    <mergeCell ref="AZ7:BC7"/>
    <mergeCell ref="AA7:AD7"/>
    <mergeCell ref="B8:E8"/>
    <mergeCell ref="G8:J8"/>
    <mergeCell ref="L8:O8"/>
    <mergeCell ref="Q8:T8"/>
    <mergeCell ref="V8:Y8"/>
    <mergeCell ref="B7:E7"/>
    <mergeCell ref="G7:J7"/>
    <mergeCell ref="L7:O7"/>
    <mergeCell ref="Q7:T7"/>
    <mergeCell ref="V7:Y7"/>
    <mergeCell ref="AA6:AD6"/>
    <mergeCell ref="AF6:AI6"/>
    <mergeCell ref="AK6:AN6"/>
    <mergeCell ref="AP6:AS6"/>
    <mergeCell ref="AU6:AX6"/>
    <mergeCell ref="AZ6:BC6"/>
    <mergeCell ref="AF5:AI5"/>
    <mergeCell ref="AK5:AN5"/>
    <mergeCell ref="AP5:AS5"/>
    <mergeCell ref="AU5:AX5"/>
    <mergeCell ref="AZ5:BC5"/>
    <mergeCell ref="AA5:AD5"/>
    <mergeCell ref="B6:E6"/>
    <mergeCell ref="G6:J6"/>
    <mergeCell ref="L6:O6"/>
    <mergeCell ref="Q6:T6"/>
    <mergeCell ref="V6:Y6"/>
    <mergeCell ref="B5:E5"/>
    <mergeCell ref="G5:J5"/>
    <mergeCell ref="L5:O5"/>
    <mergeCell ref="Q5:T5"/>
    <mergeCell ref="V5:Y5"/>
    <mergeCell ref="AA3:AD4"/>
    <mergeCell ref="AF3:AI4"/>
    <mergeCell ref="AK3:AN4"/>
    <mergeCell ref="AP3:AS4"/>
    <mergeCell ref="AU3:AX4"/>
    <mergeCell ref="AZ3:BC4"/>
    <mergeCell ref="A3:A4"/>
    <mergeCell ref="B3:E4"/>
    <mergeCell ref="G3:J4"/>
    <mergeCell ref="L3:O4"/>
    <mergeCell ref="Q3:T4"/>
    <mergeCell ref="V3:Y4"/>
    <mergeCell ref="AF1:AI1"/>
    <mergeCell ref="AK1:AN1"/>
    <mergeCell ref="AP1:AS1"/>
    <mergeCell ref="AU1:AX1"/>
    <mergeCell ref="AZ1:BC1"/>
    <mergeCell ref="A2:BC2"/>
    <mergeCell ref="B1:E1"/>
    <mergeCell ref="G1:J1"/>
    <mergeCell ref="L1:O1"/>
    <mergeCell ref="Q1:T1"/>
    <mergeCell ref="V1:Y1"/>
    <mergeCell ref="AA1:AD1"/>
  </mergeCells>
  <hyperlinks>
    <hyperlink ref="A33" r:id="rId1" display="https://www.invescomutualfund.com/literature-and-form?tab=Complete" xr:uid="{B30D7FEE-15F7-487F-94FC-A5F3E05E6FC1}"/>
  </hyperlinks>
  <pageMargins left="0.7" right="0.7" top="0.75" bottom="0.75" header="0.3" footer="0.3"/>
  <pageSetup paperSize="8" scale="45" fitToWidth="0" orientation="landscape" r:id="rId2"/>
  <drawing r:id="rId3"/>
  <legacyDrawing r:id="rId4"/>
  <oleObjects>
    <mc:AlternateContent xmlns:mc="http://schemas.openxmlformats.org/markup-compatibility/2006">
      <mc:Choice Requires="x14">
        <oleObject progId="Word.Document.12" shapeId="4097" r:id="rId5">
          <objectPr defaultSize="0" r:id="rId6">
            <anchor moveWithCells="1">
              <from>
                <xdr:col>1</xdr:col>
                <xdr:colOff>83820</xdr:colOff>
                <xdr:row>50</xdr:row>
                <xdr:rowOff>137160</xdr:rowOff>
              </from>
              <to>
                <xdr:col>4</xdr:col>
                <xdr:colOff>1066800</xdr:colOff>
                <xdr:row>50</xdr:row>
                <xdr:rowOff>708660</xdr:rowOff>
              </to>
            </anchor>
          </objectPr>
        </oleObject>
      </mc:Choice>
      <mc:Fallback>
        <oleObject progId="Word.Document.12" shapeId="4097" r:id="rId5"/>
      </mc:Fallback>
    </mc:AlternateContent>
    <mc:AlternateContent xmlns:mc="http://schemas.openxmlformats.org/markup-compatibility/2006">
      <mc:Choice Requires="x14">
        <oleObject progId="Word.Document.12" shapeId="4098" r:id="rId7">
          <objectPr defaultSize="0" r:id="rId8">
            <anchor moveWithCells="1">
              <from>
                <xdr:col>6</xdr:col>
                <xdr:colOff>106680</xdr:colOff>
                <xdr:row>50</xdr:row>
                <xdr:rowOff>144780</xdr:rowOff>
              </from>
              <to>
                <xdr:col>9</xdr:col>
                <xdr:colOff>1089660</xdr:colOff>
                <xdr:row>50</xdr:row>
                <xdr:rowOff>693420</xdr:rowOff>
              </to>
            </anchor>
          </objectPr>
        </oleObject>
      </mc:Choice>
      <mc:Fallback>
        <oleObject progId="Word.Document.12" shapeId="4098" r:id="rId7"/>
      </mc:Fallback>
    </mc:AlternateContent>
    <mc:AlternateContent xmlns:mc="http://schemas.openxmlformats.org/markup-compatibility/2006">
      <mc:Choice Requires="x14">
        <oleObject progId="Word.Document.12" shapeId="4099" r:id="rId9">
          <objectPr defaultSize="0" r:id="rId10">
            <anchor moveWithCells="1">
              <from>
                <xdr:col>11</xdr:col>
                <xdr:colOff>121920</xdr:colOff>
                <xdr:row>50</xdr:row>
                <xdr:rowOff>144780</xdr:rowOff>
              </from>
              <to>
                <xdr:col>14</xdr:col>
                <xdr:colOff>1074420</xdr:colOff>
                <xdr:row>50</xdr:row>
                <xdr:rowOff>708660</xdr:rowOff>
              </to>
            </anchor>
          </objectPr>
        </oleObject>
      </mc:Choice>
      <mc:Fallback>
        <oleObject progId="Word.Document.12" shapeId="4099" r:id="rId9"/>
      </mc:Fallback>
    </mc:AlternateContent>
    <mc:AlternateContent xmlns:mc="http://schemas.openxmlformats.org/markup-compatibility/2006">
      <mc:Choice Requires="x14">
        <oleObject progId="Word.Document.12" shapeId="4100" r:id="rId11">
          <objectPr defaultSize="0" r:id="rId12">
            <anchor moveWithCells="1">
              <from>
                <xdr:col>16</xdr:col>
                <xdr:colOff>114300</xdr:colOff>
                <xdr:row>50</xdr:row>
                <xdr:rowOff>160020</xdr:rowOff>
              </from>
              <to>
                <xdr:col>19</xdr:col>
                <xdr:colOff>1066800</xdr:colOff>
                <xdr:row>50</xdr:row>
                <xdr:rowOff>746760</xdr:rowOff>
              </to>
            </anchor>
          </objectPr>
        </oleObject>
      </mc:Choice>
      <mc:Fallback>
        <oleObject progId="Word.Document.12" shapeId="4100" r:id="rId11"/>
      </mc:Fallback>
    </mc:AlternateContent>
    <mc:AlternateContent xmlns:mc="http://schemas.openxmlformats.org/markup-compatibility/2006">
      <mc:Choice Requires="x14">
        <oleObject progId="Word.Document.12" shapeId="4101" r:id="rId13">
          <objectPr defaultSize="0" autoPict="0" r:id="rId14">
            <anchor moveWithCells="1">
              <from>
                <xdr:col>21</xdr:col>
                <xdr:colOff>137160</xdr:colOff>
                <xdr:row>50</xdr:row>
                <xdr:rowOff>190500</xdr:rowOff>
              </from>
              <to>
                <xdr:col>24</xdr:col>
                <xdr:colOff>998220</xdr:colOff>
                <xdr:row>50</xdr:row>
                <xdr:rowOff>792480</xdr:rowOff>
              </to>
            </anchor>
          </objectPr>
        </oleObject>
      </mc:Choice>
      <mc:Fallback>
        <oleObject progId="Word.Document.12" shapeId="4101" r:id="rId13"/>
      </mc:Fallback>
    </mc:AlternateContent>
    <mc:AlternateContent xmlns:mc="http://schemas.openxmlformats.org/markup-compatibility/2006">
      <mc:Choice Requires="x14">
        <oleObject progId="Word.Document.12" shapeId="4102" r:id="rId15">
          <objectPr defaultSize="0" r:id="rId16">
            <anchor moveWithCells="1">
              <from>
                <xdr:col>26</xdr:col>
                <xdr:colOff>137160</xdr:colOff>
                <xdr:row>50</xdr:row>
                <xdr:rowOff>198120</xdr:rowOff>
              </from>
              <to>
                <xdr:col>29</xdr:col>
                <xdr:colOff>1089660</xdr:colOff>
                <xdr:row>50</xdr:row>
                <xdr:rowOff>800100</xdr:rowOff>
              </to>
            </anchor>
          </objectPr>
        </oleObject>
      </mc:Choice>
      <mc:Fallback>
        <oleObject progId="Word.Document.12" shapeId="4102" r:id="rId15"/>
      </mc:Fallback>
    </mc:AlternateContent>
    <mc:AlternateContent xmlns:mc="http://schemas.openxmlformats.org/markup-compatibility/2006">
      <mc:Choice Requires="x14">
        <oleObject progId="Word.Document.12" shapeId="4103" r:id="rId17">
          <objectPr defaultSize="0" r:id="rId18">
            <anchor moveWithCells="1">
              <from>
                <xdr:col>31</xdr:col>
                <xdr:colOff>121920</xdr:colOff>
                <xdr:row>50</xdr:row>
                <xdr:rowOff>228600</xdr:rowOff>
              </from>
              <to>
                <xdr:col>34</xdr:col>
                <xdr:colOff>1074420</xdr:colOff>
                <xdr:row>50</xdr:row>
                <xdr:rowOff>830580</xdr:rowOff>
              </to>
            </anchor>
          </objectPr>
        </oleObject>
      </mc:Choice>
      <mc:Fallback>
        <oleObject progId="Word.Document.12" shapeId="4103" r:id="rId17"/>
      </mc:Fallback>
    </mc:AlternateContent>
    <mc:AlternateContent xmlns:mc="http://schemas.openxmlformats.org/markup-compatibility/2006">
      <mc:Choice Requires="x14">
        <oleObject progId="Word.Document.12" shapeId="4104" r:id="rId19">
          <objectPr defaultSize="0" r:id="rId20">
            <anchor moveWithCells="1">
              <from>
                <xdr:col>36</xdr:col>
                <xdr:colOff>160020</xdr:colOff>
                <xdr:row>50</xdr:row>
                <xdr:rowOff>266700</xdr:rowOff>
              </from>
              <to>
                <xdr:col>39</xdr:col>
                <xdr:colOff>1112520</xdr:colOff>
                <xdr:row>50</xdr:row>
                <xdr:rowOff>868680</xdr:rowOff>
              </to>
            </anchor>
          </objectPr>
        </oleObject>
      </mc:Choice>
      <mc:Fallback>
        <oleObject progId="Word.Document.12" shapeId="4104" r:id="rId19"/>
      </mc:Fallback>
    </mc:AlternateContent>
    <mc:AlternateContent xmlns:mc="http://schemas.openxmlformats.org/markup-compatibility/2006">
      <mc:Choice Requires="x14">
        <oleObject progId="Word.Document.12" shapeId="4105" r:id="rId21">
          <objectPr defaultSize="0" r:id="rId22">
            <anchor moveWithCells="1">
              <from>
                <xdr:col>41</xdr:col>
                <xdr:colOff>160020</xdr:colOff>
                <xdr:row>50</xdr:row>
                <xdr:rowOff>266700</xdr:rowOff>
              </from>
              <to>
                <xdr:col>44</xdr:col>
                <xdr:colOff>1112520</xdr:colOff>
                <xdr:row>50</xdr:row>
                <xdr:rowOff>868680</xdr:rowOff>
              </to>
            </anchor>
          </objectPr>
        </oleObject>
      </mc:Choice>
      <mc:Fallback>
        <oleObject progId="Word.Document.12" shapeId="4105" r:id="rId21"/>
      </mc:Fallback>
    </mc:AlternateContent>
    <mc:AlternateContent xmlns:mc="http://schemas.openxmlformats.org/markup-compatibility/2006">
      <mc:Choice Requires="x14">
        <oleObject progId="Word.Document.12" shapeId="4106" r:id="rId23">
          <objectPr defaultSize="0" r:id="rId24">
            <anchor moveWithCells="1">
              <from>
                <xdr:col>46</xdr:col>
                <xdr:colOff>144780</xdr:colOff>
                <xdr:row>50</xdr:row>
                <xdr:rowOff>304800</xdr:rowOff>
              </from>
              <to>
                <xdr:col>49</xdr:col>
                <xdr:colOff>1097280</xdr:colOff>
                <xdr:row>50</xdr:row>
                <xdr:rowOff>906780</xdr:rowOff>
              </to>
            </anchor>
          </objectPr>
        </oleObject>
      </mc:Choice>
      <mc:Fallback>
        <oleObject progId="Word.Document.12" shapeId="4106" r:id="rId23"/>
      </mc:Fallback>
    </mc:AlternateContent>
    <mc:AlternateContent xmlns:mc="http://schemas.openxmlformats.org/markup-compatibility/2006">
      <mc:Choice Requires="x14">
        <oleObject progId="Word.Document.12" shapeId="4107" r:id="rId25">
          <objectPr defaultSize="0" r:id="rId26">
            <anchor moveWithCells="1">
              <from>
                <xdr:col>51</xdr:col>
                <xdr:colOff>220980</xdr:colOff>
                <xdr:row>50</xdr:row>
                <xdr:rowOff>327660</xdr:rowOff>
              </from>
              <to>
                <xdr:col>54</xdr:col>
                <xdr:colOff>1173480</xdr:colOff>
                <xdr:row>50</xdr:row>
                <xdr:rowOff>922020</xdr:rowOff>
              </to>
            </anchor>
          </objectPr>
        </oleObject>
      </mc:Choice>
      <mc:Fallback>
        <oleObject progId="Word.Document.12" shapeId="4107" r:id="rId2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68FF6-716E-4331-B925-6A361117ABD6}">
  <sheetPr>
    <pageSetUpPr fitToPage="1"/>
  </sheetPr>
  <dimension ref="A1:U62"/>
  <sheetViews>
    <sheetView showGridLines="0" zoomScaleNormal="100" workbookViewId="0">
      <pane xSplit="1" ySplit="4" topLeftCell="B5" activePane="bottomRight" state="frozen"/>
      <selection sqref="A1:AT1"/>
      <selection pane="topRight" sqref="A1:AT1"/>
      <selection pane="bottomLeft" sqref="A1:AT1"/>
      <selection pane="bottomRight" activeCell="A10" sqref="A10"/>
    </sheetView>
  </sheetViews>
  <sheetFormatPr defaultColWidth="9.109375" defaultRowHeight="14.4" x14ac:dyDescent="0.3"/>
  <cols>
    <col min="1" max="1" width="45" style="15" customWidth="1"/>
    <col min="2" max="5" width="18.6640625" style="15" customWidth="1"/>
    <col min="6" max="6" width="0.44140625" style="15" customWidth="1"/>
    <col min="7" max="7" width="18.6640625" style="15" customWidth="1"/>
    <col min="8" max="8" width="22" style="15" customWidth="1"/>
    <col min="9" max="9" width="17.44140625" style="15" customWidth="1"/>
    <col min="10" max="10" width="16.33203125" style="15" customWidth="1"/>
    <col min="11" max="11" width="0.44140625" style="15" customWidth="1"/>
    <col min="12" max="12" width="24.6640625" style="15" customWidth="1"/>
    <col min="13" max="13" width="20.88671875" style="15" customWidth="1"/>
    <col min="14" max="15" width="18.6640625" style="15" customWidth="1"/>
    <col min="16" max="16" width="0.44140625" style="15" customWidth="1"/>
    <col min="17" max="20" width="18.6640625" style="15" customWidth="1"/>
    <col min="21" max="21" width="0.44140625" style="15" customWidth="1"/>
    <col min="22" max="16384" width="9.109375" style="15"/>
  </cols>
  <sheetData>
    <row r="1" spans="1:21" x14ac:dyDescent="0.3">
      <c r="A1" s="433" t="s">
        <v>11</v>
      </c>
      <c r="B1" s="433"/>
      <c r="C1" s="433"/>
      <c r="D1" s="433"/>
      <c r="E1" s="433"/>
      <c r="F1" s="433"/>
      <c r="G1" s="433"/>
      <c r="H1" s="433"/>
      <c r="I1" s="433"/>
      <c r="J1" s="433"/>
      <c r="K1" s="433"/>
      <c r="L1" s="433"/>
      <c r="M1" s="433"/>
      <c r="N1" s="433"/>
      <c r="O1" s="433"/>
      <c r="P1" s="433"/>
      <c r="Q1" s="433"/>
      <c r="R1" s="433"/>
      <c r="S1" s="433"/>
      <c r="T1" s="433"/>
      <c r="U1" s="433"/>
    </row>
    <row r="2" spans="1:21" s="173" customFormat="1" x14ac:dyDescent="0.3">
      <c r="A2" s="433" t="s">
        <v>44</v>
      </c>
      <c r="B2" s="433"/>
      <c r="C2" s="433"/>
      <c r="D2" s="433"/>
      <c r="E2" s="433"/>
      <c r="F2" s="433"/>
      <c r="G2" s="433"/>
      <c r="H2" s="433"/>
      <c r="I2" s="433"/>
      <c r="J2" s="433"/>
      <c r="K2" s="433"/>
      <c r="L2" s="433"/>
      <c r="M2" s="433"/>
      <c r="N2" s="433"/>
      <c r="O2" s="433"/>
      <c r="P2" s="433"/>
      <c r="Q2" s="433"/>
      <c r="R2" s="433"/>
      <c r="S2" s="433"/>
      <c r="T2" s="433"/>
      <c r="U2" s="433"/>
    </row>
    <row r="3" spans="1:21" s="173" customFormat="1" x14ac:dyDescent="0.3">
      <c r="A3" s="335" t="s">
        <v>13</v>
      </c>
      <c r="B3" s="345" t="s">
        <v>235</v>
      </c>
      <c r="C3" s="345"/>
      <c r="D3" s="345"/>
      <c r="E3" s="345"/>
      <c r="F3" s="19"/>
      <c r="G3" s="345" t="s">
        <v>236</v>
      </c>
      <c r="H3" s="345"/>
      <c r="I3" s="345"/>
      <c r="J3" s="345"/>
      <c r="K3" s="19"/>
      <c r="L3" s="345" t="s">
        <v>237</v>
      </c>
      <c r="M3" s="345"/>
      <c r="N3" s="345"/>
      <c r="O3" s="345"/>
      <c r="P3" s="19"/>
      <c r="Q3" s="376" t="s">
        <v>238</v>
      </c>
      <c r="R3" s="376"/>
      <c r="S3" s="376"/>
      <c r="T3" s="376"/>
      <c r="U3" s="19"/>
    </row>
    <row r="4" spans="1:21" s="173" customFormat="1" x14ac:dyDescent="0.3">
      <c r="A4" s="335"/>
      <c r="B4" s="345"/>
      <c r="C4" s="345"/>
      <c r="D4" s="345"/>
      <c r="E4" s="345"/>
      <c r="F4" s="19"/>
      <c r="G4" s="345"/>
      <c r="H4" s="345"/>
      <c r="I4" s="345"/>
      <c r="J4" s="345"/>
      <c r="K4" s="19"/>
      <c r="L4" s="345"/>
      <c r="M4" s="345"/>
      <c r="N4" s="345"/>
      <c r="O4" s="345"/>
      <c r="P4" s="19"/>
      <c r="Q4" s="376"/>
      <c r="R4" s="376"/>
      <c r="S4" s="376"/>
      <c r="T4" s="376"/>
      <c r="U4" s="19"/>
    </row>
    <row r="5" spans="1:21" s="173" customFormat="1" ht="32.25" customHeight="1" x14ac:dyDescent="0.3">
      <c r="A5" s="13" t="s">
        <v>1</v>
      </c>
      <c r="B5" s="345" t="s">
        <v>239</v>
      </c>
      <c r="C5" s="345"/>
      <c r="D5" s="345"/>
      <c r="E5" s="345"/>
      <c r="F5" s="19"/>
      <c r="G5" s="430" t="s">
        <v>240</v>
      </c>
      <c r="H5" s="431"/>
      <c r="I5" s="431"/>
      <c r="J5" s="432"/>
      <c r="K5" s="19"/>
      <c r="L5" s="345" t="s">
        <v>241</v>
      </c>
      <c r="M5" s="345"/>
      <c r="N5" s="345"/>
      <c r="O5" s="345"/>
      <c r="P5" s="19"/>
      <c r="Q5" s="339" t="s">
        <v>242</v>
      </c>
      <c r="R5" s="339"/>
      <c r="S5" s="339"/>
      <c r="T5" s="339"/>
      <c r="U5" s="20"/>
    </row>
    <row r="6" spans="1:21" s="173" customFormat="1" x14ac:dyDescent="0.3">
      <c r="A6" s="3" t="s">
        <v>15</v>
      </c>
      <c r="B6" s="345"/>
      <c r="C6" s="345"/>
      <c r="D6" s="345"/>
      <c r="E6" s="345"/>
      <c r="F6" s="19"/>
      <c r="G6" s="345"/>
      <c r="H6" s="345"/>
      <c r="I6" s="345"/>
      <c r="J6" s="345"/>
      <c r="K6" s="19"/>
      <c r="L6" s="345"/>
      <c r="M6" s="345"/>
      <c r="N6" s="345"/>
      <c r="O6" s="345"/>
      <c r="P6" s="19"/>
      <c r="Q6" s="345"/>
      <c r="R6" s="345"/>
      <c r="S6" s="345"/>
      <c r="T6" s="345"/>
      <c r="U6" s="19"/>
    </row>
    <row r="7" spans="1:21" s="173" customFormat="1" x14ac:dyDescent="0.3">
      <c r="A7" s="4" t="s">
        <v>9</v>
      </c>
      <c r="B7" s="338">
        <v>39359</v>
      </c>
      <c r="C7" s="338"/>
      <c r="D7" s="338"/>
      <c r="E7" s="338"/>
      <c r="F7" s="21"/>
      <c r="G7" s="435">
        <v>43281</v>
      </c>
      <c r="H7" s="436"/>
      <c r="I7" s="436"/>
      <c r="J7" s="437"/>
      <c r="K7" s="21"/>
      <c r="L7" s="435">
        <v>43531</v>
      </c>
      <c r="M7" s="436"/>
      <c r="N7" s="436"/>
      <c r="O7" s="437"/>
      <c r="P7" s="21"/>
      <c r="Q7" s="338">
        <v>39202</v>
      </c>
      <c r="R7" s="338"/>
      <c r="S7" s="338"/>
      <c r="T7" s="338"/>
      <c r="U7" s="21"/>
    </row>
    <row r="8" spans="1:21" s="173" customFormat="1" x14ac:dyDescent="0.3">
      <c r="A8" s="4" t="s">
        <v>0</v>
      </c>
      <c r="B8" s="338">
        <v>41275</v>
      </c>
      <c r="C8" s="338"/>
      <c r="D8" s="338"/>
      <c r="E8" s="338"/>
      <c r="F8" s="21"/>
      <c r="G8" s="438"/>
      <c r="H8" s="439"/>
      <c r="I8" s="439"/>
      <c r="J8" s="440"/>
      <c r="K8" s="21"/>
      <c r="L8" s="438"/>
      <c r="M8" s="439"/>
      <c r="N8" s="439"/>
      <c r="O8" s="440"/>
      <c r="P8" s="21"/>
      <c r="Q8" s="338">
        <v>41275</v>
      </c>
      <c r="R8" s="338"/>
      <c r="S8" s="338"/>
      <c r="T8" s="338"/>
      <c r="U8" s="21"/>
    </row>
    <row r="9" spans="1:21" s="173" customFormat="1" x14ac:dyDescent="0.3">
      <c r="A9" s="3" t="s">
        <v>14</v>
      </c>
      <c r="B9" s="434" t="s">
        <v>47</v>
      </c>
      <c r="C9" s="434"/>
      <c r="D9" s="434"/>
      <c r="E9" s="434"/>
      <c r="F9" s="193"/>
      <c r="G9" s="434" t="s">
        <v>47</v>
      </c>
      <c r="H9" s="434"/>
      <c r="I9" s="434"/>
      <c r="J9" s="434"/>
      <c r="K9" s="193"/>
      <c r="L9" s="434" t="s">
        <v>47</v>
      </c>
      <c r="M9" s="434"/>
      <c r="N9" s="434"/>
      <c r="O9" s="434"/>
      <c r="P9" s="193"/>
      <c r="Q9" s="434" t="s">
        <v>47</v>
      </c>
      <c r="R9" s="434"/>
      <c r="S9" s="434"/>
      <c r="T9" s="434"/>
      <c r="U9" s="193"/>
    </row>
    <row r="10" spans="1:21" s="173" customFormat="1" ht="51" customHeight="1" x14ac:dyDescent="0.3">
      <c r="A10" s="11" t="s">
        <v>26</v>
      </c>
      <c r="B10" s="339" t="s">
        <v>243</v>
      </c>
      <c r="C10" s="339"/>
      <c r="D10" s="339"/>
      <c r="E10" s="339"/>
      <c r="F10" s="20"/>
      <c r="G10" s="339" t="s">
        <v>244</v>
      </c>
      <c r="H10" s="339"/>
      <c r="I10" s="339"/>
      <c r="J10" s="339"/>
      <c r="K10" s="20"/>
      <c r="L10" s="339" t="s">
        <v>245</v>
      </c>
      <c r="M10" s="339"/>
      <c r="N10" s="339"/>
      <c r="O10" s="339"/>
      <c r="P10" s="20"/>
      <c r="Q10" s="339" t="s">
        <v>246</v>
      </c>
      <c r="R10" s="339"/>
      <c r="S10" s="339"/>
      <c r="T10" s="339"/>
      <c r="U10" s="20"/>
    </row>
    <row r="11" spans="1:21" s="173" customFormat="1" ht="14.4" customHeight="1" x14ac:dyDescent="0.3">
      <c r="A11" s="3" t="s">
        <v>2</v>
      </c>
      <c r="B11" s="345" t="s">
        <v>247</v>
      </c>
      <c r="C11" s="345"/>
      <c r="D11" s="345"/>
      <c r="E11" s="345"/>
      <c r="F11" s="19"/>
      <c r="G11" s="345" t="s">
        <v>248</v>
      </c>
      <c r="H11" s="345"/>
      <c r="I11" s="345"/>
      <c r="J11" s="345"/>
      <c r="K11" s="19"/>
      <c r="L11" s="345" t="s">
        <v>249</v>
      </c>
      <c r="M11" s="345"/>
      <c r="N11" s="345"/>
      <c r="O11" s="345"/>
      <c r="P11" s="19"/>
      <c r="Q11" s="345" t="s">
        <v>250</v>
      </c>
      <c r="R11" s="345"/>
      <c r="S11" s="345"/>
      <c r="T11" s="345"/>
      <c r="U11" s="19"/>
    </row>
    <row r="12" spans="1:21" s="173" customFormat="1" ht="14.4" customHeight="1" x14ac:dyDescent="0.3">
      <c r="A12" s="335" t="s">
        <v>3</v>
      </c>
      <c r="B12" s="441" t="s">
        <v>111</v>
      </c>
      <c r="C12" s="442"/>
      <c r="D12" s="441" t="s">
        <v>51</v>
      </c>
      <c r="E12" s="442"/>
      <c r="F12" s="19"/>
      <c r="G12" s="445" t="s">
        <v>51</v>
      </c>
      <c r="H12" s="445" t="s">
        <v>111</v>
      </c>
      <c r="I12" s="441" t="s">
        <v>251</v>
      </c>
      <c r="J12" s="442"/>
      <c r="K12" s="19"/>
      <c r="L12" s="345" t="s">
        <v>74</v>
      </c>
      <c r="M12" s="345" t="s">
        <v>53</v>
      </c>
      <c r="N12" s="345" t="s">
        <v>251</v>
      </c>
      <c r="O12" s="345"/>
      <c r="P12" s="19"/>
      <c r="Q12" s="339" t="s">
        <v>252</v>
      </c>
      <c r="R12" s="339"/>
      <c r="S12" s="339"/>
      <c r="T12" s="339"/>
      <c r="U12" s="20"/>
    </row>
    <row r="13" spans="1:21" s="173" customFormat="1" x14ac:dyDescent="0.3">
      <c r="A13" s="335"/>
      <c r="B13" s="443"/>
      <c r="C13" s="444"/>
      <c r="D13" s="443"/>
      <c r="E13" s="444"/>
      <c r="F13" s="19"/>
      <c r="G13" s="446"/>
      <c r="H13" s="446"/>
      <c r="I13" s="443"/>
      <c r="J13" s="444"/>
      <c r="K13" s="19"/>
      <c r="L13" s="345"/>
      <c r="M13" s="345"/>
      <c r="N13" s="345"/>
      <c r="O13" s="345"/>
      <c r="P13" s="19"/>
      <c r="Q13" s="339"/>
      <c r="R13" s="339"/>
      <c r="S13" s="339"/>
      <c r="T13" s="339"/>
      <c r="U13" s="20"/>
    </row>
    <row r="14" spans="1:21" s="173" customFormat="1" x14ac:dyDescent="0.3">
      <c r="A14" s="4" t="s">
        <v>27</v>
      </c>
      <c r="B14" s="424" t="s">
        <v>253</v>
      </c>
      <c r="C14" s="447"/>
      <c r="D14" s="424" t="s">
        <v>254</v>
      </c>
      <c r="E14" s="447"/>
      <c r="F14" s="19"/>
      <c r="G14" s="194" t="s">
        <v>255</v>
      </c>
      <c r="H14" s="195" t="s">
        <v>256</v>
      </c>
      <c r="I14" s="425" t="s">
        <v>257</v>
      </c>
      <c r="J14" s="447"/>
      <c r="K14" s="19"/>
      <c r="L14" s="99" t="s">
        <v>258</v>
      </c>
      <c r="M14" s="99" t="s">
        <v>256</v>
      </c>
      <c r="N14" s="376" t="s">
        <v>259</v>
      </c>
      <c r="O14" s="376"/>
      <c r="P14" s="19"/>
      <c r="Q14" s="376" t="s">
        <v>256</v>
      </c>
      <c r="R14" s="376"/>
      <c r="S14" s="376"/>
      <c r="T14" s="376"/>
      <c r="U14" s="19"/>
    </row>
    <row r="15" spans="1:21" s="173" customFormat="1" ht="15" customHeight="1" x14ac:dyDescent="0.3">
      <c r="A15" s="356" t="s">
        <v>260</v>
      </c>
      <c r="B15" s="355" t="s">
        <v>20</v>
      </c>
      <c r="C15" s="355"/>
      <c r="D15" s="355"/>
      <c r="E15" s="355"/>
      <c r="F15" s="22"/>
      <c r="G15" s="355" t="s">
        <v>20</v>
      </c>
      <c r="H15" s="355"/>
      <c r="I15" s="355"/>
      <c r="J15" s="355"/>
      <c r="K15" s="22"/>
      <c r="L15" s="355" t="s">
        <v>20</v>
      </c>
      <c r="M15" s="355"/>
      <c r="N15" s="355"/>
      <c r="O15" s="355"/>
      <c r="P15" s="22"/>
      <c r="Q15" s="355" t="s">
        <v>20</v>
      </c>
      <c r="R15" s="355"/>
      <c r="S15" s="355"/>
      <c r="T15" s="355"/>
      <c r="U15" s="22"/>
    </row>
    <row r="16" spans="1:21" s="197" customFormat="1" ht="41.1" customHeight="1" x14ac:dyDescent="0.3">
      <c r="A16" s="356"/>
      <c r="B16" s="32" t="s">
        <v>9</v>
      </c>
      <c r="C16" s="32" t="s">
        <v>0</v>
      </c>
      <c r="D16" s="101" t="s">
        <v>247</v>
      </c>
      <c r="E16" s="25" t="s">
        <v>50</v>
      </c>
      <c r="F16" s="231"/>
      <c r="G16" s="32" t="s">
        <v>9</v>
      </c>
      <c r="H16" s="32" t="s">
        <v>0</v>
      </c>
      <c r="I16" s="25" t="s">
        <v>248</v>
      </c>
      <c r="J16" s="25" t="s">
        <v>50</v>
      </c>
      <c r="K16" s="231"/>
      <c r="L16" s="32" t="s">
        <v>9</v>
      </c>
      <c r="M16" s="32" t="s">
        <v>0</v>
      </c>
      <c r="N16" s="25" t="s">
        <v>249</v>
      </c>
      <c r="O16" s="158" t="s">
        <v>261</v>
      </c>
      <c r="P16" s="231"/>
      <c r="Q16" s="32" t="s">
        <v>9</v>
      </c>
      <c r="R16" s="32" t="s">
        <v>0</v>
      </c>
      <c r="S16" s="25" t="s">
        <v>250</v>
      </c>
      <c r="T16" s="158" t="s">
        <v>262</v>
      </c>
      <c r="U16" s="196"/>
    </row>
    <row r="17" spans="1:21" s="173" customFormat="1" x14ac:dyDescent="0.3">
      <c r="A17" s="14" t="s">
        <v>4</v>
      </c>
      <c r="B17" s="198">
        <v>0.1295</v>
      </c>
      <c r="C17" s="98">
        <v>0.14460000000000001</v>
      </c>
      <c r="D17" s="198">
        <v>0.15790000000000001</v>
      </c>
      <c r="E17" s="198">
        <v>0.28499999999999998</v>
      </c>
      <c r="F17" s="232"/>
      <c r="G17" s="199">
        <v>0.1951</v>
      </c>
      <c r="H17" s="199">
        <v>0.21490000000000001</v>
      </c>
      <c r="I17" s="199">
        <v>0.20780000000000001</v>
      </c>
      <c r="J17" s="199">
        <v>0.28499999999999998</v>
      </c>
      <c r="K17" s="233"/>
      <c r="L17" s="199">
        <v>0.1012</v>
      </c>
      <c r="M17" s="199">
        <v>0.1201</v>
      </c>
      <c r="N17" s="199">
        <v>0.1183</v>
      </c>
      <c r="O17" s="199">
        <v>1.1000000000000001E-3</v>
      </c>
      <c r="P17" s="233"/>
      <c r="Q17" s="199">
        <v>3.8300000000000001E-2</v>
      </c>
      <c r="R17" s="98">
        <v>4.4999999999999998E-2</v>
      </c>
      <c r="S17" s="199">
        <v>2.7300000000000001E-2</v>
      </c>
      <c r="T17" s="199">
        <v>3.5200000000000002E-2</v>
      </c>
      <c r="U17" s="200"/>
    </row>
    <row r="18" spans="1:21" s="173" customFormat="1" x14ac:dyDescent="0.3">
      <c r="A18" s="14" t="s">
        <v>16</v>
      </c>
      <c r="B18" s="198">
        <v>0.1024</v>
      </c>
      <c r="C18" s="98">
        <v>0.11650000000000001</v>
      </c>
      <c r="D18" s="198">
        <v>0.14360000000000001</v>
      </c>
      <c r="E18" s="198">
        <v>0.1835</v>
      </c>
      <c r="F18" s="232"/>
      <c r="G18" s="199">
        <v>0.1333</v>
      </c>
      <c r="H18" s="199">
        <v>0.1507</v>
      </c>
      <c r="I18" s="199">
        <v>0.16239999999999999</v>
      </c>
      <c r="J18" s="199">
        <v>0.1835</v>
      </c>
      <c r="K18" s="233"/>
      <c r="L18" s="199"/>
      <c r="M18" s="199"/>
      <c r="N18" s="199"/>
      <c r="O18" s="199"/>
      <c r="P18" s="233"/>
      <c r="Q18" s="199">
        <v>4.5400000000000003E-2</v>
      </c>
      <c r="R18" s="98">
        <v>5.2299999999999999E-2</v>
      </c>
      <c r="S18" s="199">
        <v>3.7100000000000001E-2</v>
      </c>
      <c r="T18" s="199">
        <v>5.4199999999999998E-2</v>
      </c>
      <c r="U18" s="200"/>
    </row>
    <row r="19" spans="1:21" s="173" customFormat="1" x14ac:dyDescent="0.3">
      <c r="A19" s="14" t="s">
        <v>17</v>
      </c>
      <c r="B19" s="198">
        <v>9.3899999999999997E-2</v>
      </c>
      <c r="C19" s="98">
        <v>0.1082</v>
      </c>
      <c r="D19" s="198">
        <v>0.124</v>
      </c>
      <c r="E19" s="198">
        <v>0.16600000000000001</v>
      </c>
      <c r="F19" s="232"/>
      <c r="G19" s="199" t="s">
        <v>188</v>
      </c>
      <c r="H19" s="199" t="s">
        <v>188</v>
      </c>
      <c r="I19" s="199" t="s">
        <v>188</v>
      </c>
      <c r="J19" s="199" t="s">
        <v>188</v>
      </c>
      <c r="K19" s="233"/>
      <c r="L19" s="199" t="s">
        <v>188</v>
      </c>
      <c r="M19" s="199" t="s">
        <v>188</v>
      </c>
      <c r="N19" s="199" t="s">
        <v>188</v>
      </c>
      <c r="O19" s="199" t="s">
        <v>188</v>
      </c>
      <c r="P19" s="233"/>
      <c r="Q19" s="199">
        <v>5.0700000000000002E-2</v>
      </c>
      <c r="R19" s="98">
        <v>5.7299999999999997E-2</v>
      </c>
      <c r="S19" s="199">
        <v>4.07E-2</v>
      </c>
      <c r="T19" s="199">
        <v>5.8299999999999998E-2</v>
      </c>
      <c r="U19" s="200"/>
    </row>
    <row r="20" spans="1:21" s="173" customFormat="1" x14ac:dyDescent="0.3">
      <c r="A20" s="14" t="s">
        <v>18</v>
      </c>
      <c r="B20" s="198">
        <v>7.8E-2</v>
      </c>
      <c r="C20" s="98">
        <v>9.3700000000000006E-2</v>
      </c>
      <c r="D20" s="198">
        <v>0.1018</v>
      </c>
      <c r="E20" s="198">
        <v>0.11509999999999999</v>
      </c>
      <c r="F20" s="232"/>
      <c r="G20" s="199" t="s">
        <v>188</v>
      </c>
      <c r="H20" s="199" t="s">
        <v>188</v>
      </c>
      <c r="I20" s="199" t="s">
        <v>188</v>
      </c>
      <c r="J20" s="199" t="s">
        <v>188</v>
      </c>
      <c r="K20" s="233"/>
      <c r="L20" s="199" t="s">
        <v>188</v>
      </c>
      <c r="M20" s="199" t="s">
        <v>188</v>
      </c>
      <c r="N20" s="199" t="s">
        <v>188</v>
      </c>
      <c r="O20" s="199" t="s">
        <v>188</v>
      </c>
      <c r="P20" s="233"/>
      <c r="Q20" s="199">
        <v>5.5599999999999997E-2</v>
      </c>
      <c r="R20" s="98">
        <v>6.1899999999999997E-2</v>
      </c>
      <c r="S20" s="199">
        <v>4.87E-2</v>
      </c>
      <c r="T20" s="199">
        <v>6.3399999999999998E-2</v>
      </c>
      <c r="U20" s="200"/>
    </row>
    <row r="21" spans="1:21" s="173" customFormat="1" x14ac:dyDescent="0.3">
      <c r="A21" s="14" t="s">
        <v>19</v>
      </c>
      <c r="B21" s="98">
        <v>0.12540000000000001</v>
      </c>
      <c r="C21" s="100" t="s">
        <v>188</v>
      </c>
      <c r="D21" s="98">
        <v>0.1168</v>
      </c>
      <c r="E21" s="98">
        <v>0.14180000000000001</v>
      </c>
      <c r="F21" s="8"/>
      <c r="G21" s="199" t="s">
        <v>188</v>
      </c>
      <c r="H21" s="199" t="s">
        <v>188</v>
      </c>
      <c r="I21" s="199" t="s">
        <v>188</v>
      </c>
      <c r="J21" s="199" t="s">
        <v>188</v>
      </c>
      <c r="K21" s="8"/>
      <c r="L21" s="199" t="s">
        <v>188</v>
      </c>
      <c r="M21" s="199" t="s">
        <v>188</v>
      </c>
      <c r="N21" s="199" t="s">
        <v>188</v>
      </c>
      <c r="O21" s="199" t="s">
        <v>188</v>
      </c>
      <c r="P21" s="8"/>
      <c r="Q21" s="98">
        <v>6.4299999999999996E-2</v>
      </c>
      <c r="R21" s="100" t="s">
        <v>188</v>
      </c>
      <c r="S21" s="98">
        <v>5.9400000000000001E-2</v>
      </c>
      <c r="T21" s="98">
        <v>6.7100000000000007E-2</v>
      </c>
      <c r="U21" s="19"/>
    </row>
    <row r="22" spans="1:21" s="201" customFormat="1" ht="15" customHeight="1" x14ac:dyDescent="0.3">
      <c r="A22" s="12" t="s">
        <v>22</v>
      </c>
      <c r="B22" s="198">
        <v>9.5500000000000002E-2</v>
      </c>
      <c r="C22" s="100" t="s">
        <v>188</v>
      </c>
      <c r="D22" s="198">
        <v>9.8400000000000001E-2</v>
      </c>
      <c r="E22" s="198">
        <v>0.1003</v>
      </c>
      <c r="F22" s="232"/>
      <c r="G22" s="199">
        <v>0.1086</v>
      </c>
      <c r="H22" s="199" t="s">
        <v>188</v>
      </c>
      <c r="I22" s="199">
        <v>0.14130000000000001</v>
      </c>
      <c r="J22" s="199">
        <v>0.15679999999999999</v>
      </c>
      <c r="K22" s="233"/>
      <c r="L22" s="199">
        <v>8.2299999999999998E-2</v>
      </c>
      <c r="M22" s="199" t="s">
        <v>188</v>
      </c>
      <c r="N22" s="199">
        <v>0.1051</v>
      </c>
      <c r="O22" s="199">
        <v>6.7299999999999999E-2</v>
      </c>
      <c r="P22" s="233"/>
      <c r="Q22" s="199">
        <v>6.5500000000000003E-2</v>
      </c>
      <c r="R22" s="100" t="s">
        <v>188</v>
      </c>
      <c r="S22" s="199" t="s">
        <v>47</v>
      </c>
      <c r="T22" s="199">
        <v>6.2600000000000003E-2</v>
      </c>
      <c r="U22" s="200"/>
    </row>
    <row r="23" spans="1:21" s="201" customFormat="1" ht="15" customHeight="1" x14ac:dyDescent="0.3">
      <c r="A23" s="12" t="s">
        <v>23</v>
      </c>
      <c r="B23" s="100" t="s">
        <v>188</v>
      </c>
      <c r="C23" s="198">
        <v>0.13020000000000001</v>
      </c>
      <c r="D23" s="198">
        <v>0.1144</v>
      </c>
      <c r="E23" s="202">
        <v>0.1386</v>
      </c>
      <c r="F23" s="234"/>
      <c r="G23" s="199" t="s">
        <v>188</v>
      </c>
      <c r="H23" s="199">
        <v>0.1258</v>
      </c>
      <c r="I23" s="199">
        <v>0.14130000000000001</v>
      </c>
      <c r="J23" s="199">
        <v>0.15679999999999999</v>
      </c>
      <c r="K23" s="235"/>
      <c r="L23" s="199" t="s">
        <v>188</v>
      </c>
      <c r="M23" s="199">
        <v>0.1016</v>
      </c>
      <c r="N23" s="199">
        <v>0.1051</v>
      </c>
      <c r="O23" s="199">
        <v>6.7299999999999999E-2</v>
      </c>
      <c r="P23" s="235"/>
      <c r="Q23" s="100" t="s">
        <v>188</v>
      </c>
      <c r="R23" s="199">
        <v>6.8000000000000005E-2</v>
      </c>
      <c r="S23" s="199">
        <v>5.67E-2</v>
      </c>
      <c r="T23" s="204">
        <v>6.5600000000000006E-2</v>
      </c>
      <c r="U23" s="203"/>
    </row>
    <row r="24" spans="1:21" s="201" customFormat="1" ht="15" customHeight="1" x14ac:dyDescent="0.3">
      <c r="A24" s="10"/>
      <c r="B24" s="355" t="s">
        <v>21</v>
      </c>
      <c r="C24" s="355"/>
      <c r="D24" s="355"/>
      <c r="E24" s="355"/>
      <c r="F24" s="23"/>
      <c r="G24" s="355" t="s">
        <v>21</v>
      </c>
      <c r="H24" s="355"/>
      <c r="I24" s="355"/>
      <c r="J24" s="355"/>
      <c r="K24" s="23"/>
      <c r="L24" s="355" t="s">
        <v>21</v>
      </c>
      <c r="M24" s="355"/>
      <c r="N24" s="355"/>
      <c r="O24" s="355"/>
      <c r="P24" s="23"/>
      <c r="Q24" s="355" t="s">
        <v>21</v>
      </c>
      <c r="R24" s="355"/>
      <c r="S24" s="355"/>
      <c r="T24" s="355"/>
      <c r="U24" s="22"/>
    </row>
    <row r="25" spans="1:21" s="201" customFormat="1" ht="15" customHeight="1" x14ac:dyDescent="0.3">
      <c r="A25" s="12" t="s">
        <v>4</v>
      </c>
      <c r="B25" s="205">
        <v>11303</v>
      </c>
      <c r="C25" s="206">
        <v>11454</v>
      </c>
      <c r="D25" s="205">
        <v>11589</v>
      </c>
      <c r="E25" s="205">
        <v>12868</v>
      </c>
      <c r="F25" s="236"/>
      <c r="G25" s="207">
        <v>11963</v>
      </c>
      <c r="H25" s="207">
        <v>12162</v>
      </c>
      <c r="I25" s="79">
        <v>12091</v>
      </c>
      <c r="J25" s="79">
        <v>12868</v>
      </c>
      <c r="K25" s="237"/>
      <c r="L25" s="79">
        <v>11017</v>
      </c>
      <c r="M25" s="79">
        <v>11208</v>
      </c>
      <c r="N25" s="79">
        <v>11189</v>
      </c>
      <c r="O25" s="79">
        <v>10011</v>
      </c>
      <c r="P25" s="237"/>
      <c r="Q25" s="209">
        <v>10385</v>
      </c>
      <c r="R25" s="210">
        <v>10452</v>
      </c>
      <c r="S25" s="209">
        <v>10274</v>
      </c>
      <c r="T25" s="209">
        <v>10354</v>
      </c>
      <c r="U25" s="208"/>
    </row>
    <row r="26" spans="1:21" s="201" customFormat="1" ht="15" customHeight="1" x14ac:dyDescent="0.3">
      <c r="A26" s="12" t="s">
        <v>16</v>
      </c>
      <c r="B26" s="205">
        <v>13401</v>
      </c>
      <c r="C26" s="210">
        <v>13921</v>
      </c>
      <c r="D26" s="205">
        <v>14962</v>
      </c>
      <c r="E26" s="205">
        <v>16583</v>
      </c>
      <c r="F26" s="236"/>
      <c r="G26" s="79">
        <v>14561</v>
      </c>
      <c r="H26" s="79">
        <v>15241</v>
      </c>
      <c r="I26" s="79">
        <v>15712</v>
      </c>
      <c r="J26" s="79">
        <v>16583</v>
      </c>
      <c r="K26" s="237"/>
      <c r="L26" s="79"/>
      <c r="M26" s="79"/>
      <c r="N26" s="79"/>
      <c r="O26" s="79"/>
      <c r="P26" s="237"/>
      <c r="Q26" s="209">
        <v>11427</v>
      </c>
      <c r="R26" s="210">
        <v>11653</v>
      </c>
      <c r="S26" s="209">
        <v>11156</v>
      </c>
      <c r="T26" s="209">
        <v>11719</v>
      </c>
      <c r="U26" s="208"/>
    </row>
    <row r="27" spans="1:21" s="201" customFormat="1" ht="15" customHeight="1" x14ac:dyDescent="0.3">
      <c r="A27" s="12" t="s">
        <v>17</v>
      </c>
      <c r="B27" s="205">
        <v>15668</v>
      </c>
      <c r="C27" s="210">
        <v>16721</v>
      </c>
      <c r="D27" s="205">
        <v>17944</v>
      </c>
      <c r="E27" s="205">
        <v>21557</v>
      </c>
      <c r="F27" s="236"/>
      <c r="G27" s="199" t="s">
        <v>188</v>
      </c>
      <c r="H27" s="199" t="s">
        <v>188</v>
      </c>
      <c r="I27" s="199" t="s">
        <v>188</v>
      </c>
      <c r="J27" s="199" t="s">
        <v>188</v>
      </c>
      <c r="K27" s="237"/>
      <c r="L27" s="199" t="s">
        <v>188</v>
      </c>
      <c r="M27" s="199" t="s">
        <v>188</v>
      </c>
      <c r="N27" s="199" t="s">
        <v>188</v>
      </c>
      <c r="O27" s="199" t="s">
        <v>188</v>
      </c>
      <c r="P27" s="237"/>
      <c r="Q27" s="209">
        <v>12805</v>
      </c>
      <c r="R27" s="210">
        <v>13215</v>
      </c>
      <c r="S27" s="209">
        <v>12206</v>
      </c>
      <c r="T27" s="209">
        <v>13275</v>
      </c>
      <c r="U27" s="208"/>
    </row>
    <row r="28" spans="1:21" s="201" customFormat="1" ht="15" customHeight="1" x14ac:dyDescent="0.3">
      <c r="A28" s="12" t="s">
        <v>18</v>
      </c>
      <c r="B28" s="205">
        <v>16923</v>
      </c>
      <c r="C28" s="210">
        <v>18728</v>
      </c>
      <c r="D28" s="205">
        <v>19731</v>
      </c>
      <c r="E28" s="205">
        <v>21463</v>
      </c>
      <c r="F28" s="236"/>
      <c r="G28" s="199" t="s">
        <v>188</v>
      </c>
      <c r="H28" s="199" t="s">
        <v>188</v>
      </c>
      <c r="I28" s="199" t="s">
        <v>188</v>
      </c>
      <c r="J28" s="199" t="s">
        <v>188</v>
      </c>
      <c r="K28" s="237"/>
      <c r="L28" s="199" t="s">
        <v>188</v>
      </c>
      <c r="M28" s="199" t="s">
        <v>188</v>
      </c>
      <c r="N28" s="199" t="s">
        <v>188</v>
      </c>
      <c r="O28" s="199" t="s">
        <v>188</v>
      </c>
      <c r="P28" s="237"/>
      <c r="Q28" s="209">
        <v>14607</v>
      </c>
      <c r="R28" s="210">
        <v>15233</v>
      </c>
      <c r="S28" s="209">
        <v>13957</v>
      </c>
      <c r="T28" s="209">
        <v>15387</v>
      </c>
      <c r="U28" s="208"/>
    </row>
    <row r="29" spans="1:21" s="201" customFormat="1" ht="15" customHeight="1" x14ac:dyDescent="0.3">
      <c r="A29" s="12" t="s">
        <v>19</v>
      </c>
      <c r="B29" s="210">
        <v>32621</v>
      </c>
      <c r="C29" s="100" t="s">
        <v>188</v>
      </c>
      <c r="D29" s="210">
        <v>30201</v>
      </c>
      <c r="E29" s="210">
        <v>37714</v>
      </c>
      <c r="F29" s="238"/>
      <c r="G29" s="199" t="s">
        <v>188</v>
      </c>
      <c r="H29" s="199" t="s">
        <v>188</v>
      </c>
      <c r="I29" s="199" t="s">
        <v>188</v>
      </c>
      <c r="J29" s="199" t="s">
        <v>188</v>
      </c>
      <c r="K29" s="238"/>
      <c r="L29" s="199" t="s">
        <v>188</v>
      </c>
      <c r="M29" s="199" t="s">
        <v>188</v>
      </c>
      <c r="N29" s="199" t="s">
        <v>188</v>
      </c>
      <c r="O29" s="199" t="s">
        <v>188</v>
      </c>
      <c r="P29" s="238"/>
      <c r="Q29" s="210">
        <v>18659</v>
      </c>
      <c r="R29" s="212" t="s">
        <v>188</v>
      </c>
      <c r="S29" s="210">
        <v>17819</v>
      </c>
      <c r="T29" s="210">
        <v>19153</v>
      </c>
      <c r="U29" s="211"/>
    </row>
    <row r="30" spans="1:21" s="201" customFormat="1" ht="15" customHeight="1" x14ac:dyDescent="0.3">
      <c r="A30" s="12" t="s">
        <v>22</v>
      </c>
      <c r="B30" s="205">
        <v>36960</v>
      </c>
      <c r="C30" s="100" t="s">
        <v>188</v>
      </c>
      <c r="D30" s="205">
        <v>38386</v>
      </c>
      <c r="E30" s="205">
        <v>39382</v>
      </c>
      <c r="F30" s="236"/>
      <c r="G30" s="79">
        <v>14484</v>
      </c>
      <c r="H30" s="199" t="s">
        <v>188</v>
      </c>
      <c r="I30" s="79">
        <v>16078</v>
      </c>
      <c r="J30" s="79">
        <v>16873</v>
      </c>
      <c r="K30" s="237"/>
      <c r="L30" s="79">
        <v>12585</v>
      </c>
      <c r="M30" s="199" t="s">
        <v>188</v>
      </c>
      <c r="N30" s="79">
        <v>13369</v>
      </c>
      <c r="O30" s="79">
        <v>12084</v>
      </c>
      <c r="P30" s="237"/>
      <c r="Q30" s="209">
        <v>25527</v>
      </c>
      <c r="R30" s="212" t="s">
        <v>188</v>
      </c>
      <c r="S30" s="213" t="s">
        <v>47</v>
      </c>
      <c r="T30" s="209">
        <v>24523</v>
      </c>
      <c r="U30" s="208"/>
    </row>
    <row r="31" spans="1:21" s="201" customFormat="1" ht="15" customHeight="1" x14ac:dyDescent="0.3">
      <c r="A31" s="12" t="s">
        <v>23</v>
      </c>
      <c r="B31" s="100" t="s">
        <v>188</v>
      </c>
      <c r="C31" s="210">
        <v>30415</v>
      </c>
      <c r="D31" s="205">
        <v>26769</v>
      </c>
      <c r="E31" s="205">
        <v>32538</v>
      </c>
      <c r="F31" s="236"/>
      <c r="G31" s="199" t="s">
        <v>188</v>
      </c>
      <c r="H31" s="79">
        <v>15306</v>
      </c>
      <c r="I31" s="79">
        <v>16078</v>
      </c>
      <c r="J31" s="79">
        <v>16873</v>
      </c>
      <c r="K31" s="237"/>
      <c r="L31" s="199" t="s">
        <v>188</v>
      </c>
      <c r="M31" s="79">
        <v>13249</v>
      </c>
      <c r="N31" s="79">
        <v>13369</v>
      </c>
      <c r="O31" s="79">
        <v>12084</v>
      </c>
      <c r="P31" s="237"/>
      <c r="Q31" s="212" t="s">
        <v>188</v>
      </c>
      <c r="R31" s="210">
        <v>18177</v>
      </c>
      <c r="S31" s="79">
        <v>16504</v>
      </c>
      <c r="T31" s="209">
        <v>17815</v>
      </c>
      <c r="U31" s="208"/>
    </row>
    <row r="32" spans="1:21" s="201" customFormat="1" ht="15" customHeight="1" x14ac:dyDescent="0.3">
      <c r="A32" s="10"/>
      <c r="B32" s="198"/>
      <c r="C32" s="198"/>
      <c r="D32" s="198"/>
      <c r="E32" s="205"/>
      <c r="F32" s="214"/>
      <c r="G32" s="199"/>
      <c r="H32" s="199"/>
      <c r="I32" s="199"/>
      <c r="J32" s="199"/>
      <c r="K32" s="215"/>
      <c r="L32" s="199"/>
      <c r="M32" s="199"/>
      <c r="N32" s="199"/>
      <c r="O32" s="199"/>
      <c r="P32" s="215"/>
      <c r="Q32" s="199"/>
      <c r="R32" s="199"/>
      <c r="S32" s="199"/>
      <c r="T32" s="209"/>
      <c r="U32" s="215"/>
    </row>
    <row r="33" spans="1:21" s="197" customFormat="1" ht="43.5" customHeight="1" x14ac:dyDescent="0.3">
      <c r="A33" s="167" t="s">
        <v>200</v>
      </c>
      <c r="B33" s="356" t="s">
        <v>12</v>
      </c>
      <c r="C33" s="356"/>
      <c r="D33" s="28" t="s">
        <v>263</v>
      </c>
      <c r="E33" s="28" t="s">
        <v>10</v>
      </c>
      <c r="F33" s="29"/>
      <c r="G33" s="356" t="s">
        <v>12</v>
      </c>
      <c r="H33" s="356"/>
      <c r="I33" s="28" t="s">
        <v>263</v>
      </c>
      <c r="J33" s="28" t="s">
        <v>10</v>
      </c>
      <c r="K33" s="29"/>
      <c r="L33" s="356" t="s">
        <v>12</v>
      </c>
      <c r="M33" s="356"/>
      <c r="N33" s="28" t="s">
        <v>263</v>
      </c>
      <c r="O33" s="28" t="s">
        <v>10</v>
      </c>
      <c r="P33" s="29"/>
      <c r="Q33" s="356" t="s">
        <v>264</v>
      </c>
      <c r="R33" s="356"/>
      <c r="S33" s="28" t="s">
        <v>263</v>
      </c>
      <c r="T33" s="28" t="s">
        <v>10</v>
      </c>
      <c r="U33" s="29"/>
    </row>
    <row r="34" spans="1:21" s="197" customFormat="1" ht="26.25" customHeight="1" x14ac:dyDescent="0.3">
      <c r="A34" s="339"/>
      <c r="B34" s="417" t="s">
        <v>265</v>
      </c>
      <c r="C34" s="418" t="s">
        <v>265</v>
      </c>
      <c r="D34" s="216" t="s">
        <v>266</v>
      </c>
      <c r="E34" s="217">
        <v>7.2165730799999994E-2</v>
      </c>
      <c r="F34" s="239"/>
      <c r="G34" s="417" t="s">
        <v>267</v>
      </c>
      <c r="H34" s="418" t="s">
        <v>267</v>
      </c>
      <c r="I34" s="216" t="s">
        <v>268</v>
      </c>
      <c r="J34" s="217">
        <v>7.9632387499999999E-2</v>
      </c>
      <c r="K34" s="240"/>
      <c r="L34" s="219" t="s">
        <v>269</v>
      </c>
      <c r="M34" s="241"/>
      <c r="N34" s="216" t="s">
        <v>270</v>
      </c>
      <c r="O34" s="217">
        <v>9.1942271500000006E-2</v>
      </c>
      <c r="P34" s="239"/>
      <c r="Q34" s="420" t="s">
        <v>269</v>
      </c>
      <c r="R34" s="421" t="s">
        <v>269</v>
      </c>
      <c r="S34" s="216" t="s">
        <v>270</v>
      </c>
      <c r="T34" s="220">
        <v>0.14301400410000001</v>
      </c>
      <c r="U34" s="218"/>
    </row>
    <row r="35" spans="1:21" s="197" customFormat="1" ht="26.25" customHeight="1" x14ac:dyDescent="0.3">
      <c r="A35" s="339"/>
      <c r="B35" s="420" t="s">
        <v>269</v>
      </c>
      <c r="C35" s="421" t="s">
        <v>269</v>
      </c>
      <c r="D35" s="216" t="s">
        <v>270</v>
      </c>
      <c r="E35" s="217">
        <v>5.8926913400000003E-2</v>
      </c>
      <c r="F35" s="239"/>
      <c r="G35" s="420" t="s">
        <v>271</v>
      </c>
      <c r="H35" s="421" t="s">
        <v>271</v>
      </c>
      <c r="I35" s="216" t="s">
        <v>266</v>
      </c>
      <c r="J35" s="217">
        <v>4.9975209200000002E-2</v>
      </c>
      <c r="K35" s="240"/>
      <c r="L35" s="221" t="s">
        <v>272</v>
      </c>
      <c r="M35" s="242"/>
      <c r="N35" s="216" t="s">
        <v>273</v>
      </c>
      <c r="O35" s="217">
        <v>7.6033523300000003E-2</v>
      </c>
      <c r="P35" s="239"/>
      <c r="Q35" s="417" t="s">
        <v>274</v>
      </c>
      <c r="R35" s="418" t="s">
        <v>274</v>
      </c>
      <c r="S35" s="216" t="s">
        <v>273</v>
      </c>
      <c r="T35" s="220">
        <v>5.5163451099999997E-2</v>
      </c>
      <c r="U35" s="218"/>
    </row>
    <row r="36" spans="1:21" s="197" customFormat="1" ht="43.5" customHeight="1" x14ac:dyDescent="0.3">
      <c r="A36" s="339"/>
      <c r="B36" s="420" t="s">
        <v>275</v>
      </c>
      <c r="C36" s="421" t="s">
        <v>275</v>
      </c>
      <c r="D36" s="216" t="s">
        <v>273</v>
      </c>
      <c r="E36" s="217">
        <v>5.8124031600000001E-2</v>
      </c>
      <c r="F36" s="239"/>
      <c r="G36" s="420" t="s">
        <v>281</v>
      </c>
      <c r="H36" s="421" t="s">
        <v>281</v>
      </c>
      <c r="I36" s="216" t="s">
        <v>268</v>
      </c>
      <c r="J36" s="217">
        <v>4.81962986E-2</v>
      </c>
      <c r="K36" s="240"/>
      <c r="L36" s="221" t="s">
        <v>277</v>
      </c>
      <c r="M36" s="242"/>
      <c r="N36" s="216" t="s">
        <v>268</v>
      </c>
      <c r="O36" s="217">
        <v>5.8367644699999999E-2</v>
      </c>
      <c r="P36" s="239"/>
      <c r="Q36" s="417" t="s">
        <v>284</v>
      </c>
      <c r="R36" s="418" t="s">
        <v>284</v>
      </c>
      <c r="S36" s="216" t="s">
        <v>273</v>
      </c>
      <c r="T36" s="220">
        <v>4.8893230500000003E-2</v>
      </c>
      <c r="U36" s="218"/>
    </row>
    <row r="37" spans="1:21" s="197" customFormat="1" ht="26.25" customHeight="1" x14ac:dyDescent="0.3">
      <c r="A37" s="339"/>
      <c r="B37" s="420" t="s">
        <v>276</v>
      </c>
      <c r="C37" s="421" t="s">
        <v>276</v>
      </c>
      <c r="D37" s="216" t="s">
        <v>273</v>
      </c>
      <c r="E37" s="217">
        <v>5.5160394299999999E-2</v>
      </c>
      <c r="F37" s="239"/>
      <c r="G37" s="420" t="s">
        <v>276</v>
      </c>
      <c r="H37" s="421" t="s">
        <v>276</v>
      </c>
      <c r="I37" s="216" t="s">
        <v>273</v>
      </c>
      <c r="J37" s="217">
        <v>4.3801727899999997E-2</v>
      </c>
      <c r="K37" s="240"/>
      <c r="L37" s="221" t="s">
        <v>280</v>
      </c>
      <c r="M37" s="242"/>
      <c r="N37" s="216" t="s">
        <v>266</v>
      </c>
      <c r="O37" s="217">
        <v>5.5501106600000003E-2</v>
      </c>
      <c r="P37" s="239"/>
      <c r="Q37" s="420" t="s">
        <v>283</v>
      </c>
      <c r="R37" s="421" t="s">
        <v>283</v>
      </c>
      <c r="S37" s="216" t="s">
        <v>268</v>
      </c>
      <c r="T37" s="220">
        <v>3.7499999999999999E-2</v>
      </c>
      <c r="U37" s="218"/>
    </row>
    <row r="38" spans="1:21" s="197" customFormat="1" ht="35.25" customHeight="1" x14ac:dyDescent="0.3">
      <c r="A38" s="339"/>
      <c r="B38" s="420" t="s">
        <v>278</v>
      </c>
      <c r="C38" s="421" t="s">
        <v>278</v>
      </c>
      <c r="D38" s="216" t="s">
        <v>273</v>
      </c>
      <c r="E38" s="217">
        <v>5.1871278399999998E-2</v>
      </c>
      <c r="F38" s="239"/>
      <c r="G38" s="420" t="s">
        <v>279</v>
      </c>
      <c r="H38" s="421" t="s">
        <v>279</v>
      </c>
      <c r="I38" s="216" t="s">
        <v>273</v>
      </c>
      <c r="J38" s="217">
        <v>3.7284968699999997E-2</v>
      </c>
      <c r="K38" s="240"/>
      <c r="L38" s="221" t="s">
        <v>282</v>
      </c>
      <c r="M38" s="242"/>
      <c r="N38" s="216" t="s">
        <v>273</v>
      </c>
      <c r="O38" s="217">
        <v>4.0034610399999997E-2</v>
      </c>
      <c r="P38" s="239"/>
      <c r="Q38" s="420" t="s">
        <v>287</v>
      </c>
      <c r="R38" s="421" t="s">
        <v>287</v>
      </c>
      <c r="S38" s="216" t="s">
        <v>268</v>
      </c>
      <c r="T38" s="220">
        <v>3.7199999999999997E-2</v>
      </c>
      <c r="U38" s="218"/>
    </row>
    <row r="39" spans="1:21" s="197" customFormat="1" ht="26.25" customHeight="1" x14ac:dyDescent="0.3">
      <c r="A39" s="339"/>
      <c r="B39" s="420" t="s">
        <v>279</v>
      </c>
      <c r="C39" s="421" t="s">
        <v>279</v>
      </c>
      <c r="D39" s="216" t="s">
        <v>273</v>
      </c>
      <c r="E39" s="217">
        <v>5.1519765199999998E-2</v>
      </c>
      <c r="F39" s="239"/>
      <c r="G39" s="420" t="s">
        <v>278</v>
      </c>
      <c r="H39" s="421" t="s">
        <v>278</v>
      </c>
      <c r="I39" s="216" t="s">
        <v>273</v>
      </c>
      <c r="J39" s="217">
        <v>3.3598928399999999E-2</v>
      </c>
      <c r="K39" s="240"/>
      <c r="L39" s="221" t="s">
        <v>276</v>
      </c>
      <c r="M39" s="242"/>
      <c r="N39" s="216" t="s">
        <v>273</v>
      </c>
      <c r="O39" s="217">
        <v>3.8455743700000003E-2</v>
      </c>
      <c r="P39" s="239"/>
      <c r="Q39" s="420" t="s">
        <v>290</v>
      </c>
      <c r="R39" s="421" t="s">
        <v>290</v>
      </c>
      <c r="S39" s="216" t="s">
        <v>273</v>
      </c>
      <c r="T39" s="220">
        <v>3.6558808599999999E-2</v>
      </c>
      <c r="U39" s="218"/>
    </row>
    <row r="40" spans="1:21" s="197" customFormat="1" ht="26.25" customHeight="1" x14ac:dyDescent="0.3">
      <c r="A40" s="339"/>
      <c r="B40" s="420" t="s">
        <v>285</v>
      </c>
      <c r="C40" s="421" t="s">
        <v>285</v>
      </c>
      <c r="D40" s="216" t="s">
        <v>268</v>
      </c>
      <c r="E40" s="217">
        <v>2.9486825500000001E-2</v>
      </c>
      <c r="F40" s="239"/>
      <c r="G40" s="420" t="s">
        <v>275</v>
      </c>
      <c r="H40" s="421" t="s">
        <v>275</v>
      </c>
      <c r="I40" s="216" t="s">
        <v>273</v>
      </c>
      <c r="J40" s="217">
        <v>2.6191455400000001E-2</v>
      </c>
      <c r="K40" s="240"/>
      <c r="L40" s="221" t="s">
        <v>60</v>
      </c>
      <c r="M40" s="242"/>
      <c r="N40" s="216" t="s">
        <v>273</v>
      </c>
      <c r="O40" s="217">
        <v>3.1493417699999998E-2</v>
      </c>
      <c r="P40" s="239"/>
      <c r="Q40" s="420" t="s">
        <v>298</v>
      </c>
      <c r="R40" s="421" t="s">
        <v>298</v>
      </c>
      <c r="S40" s="216" t="s">
        <v>273</v>
      </c>
      <c r="T40" s="220">
        <v>2.6871880899999999E-2</v>
      </c>
      <c r="U40" s="218"/>
    </row>
    <row r="41" spans="1:21" s="197" customFormat="1" ht="26.25" customHeight="1" x14ac:dyDescent="0.3">
      <c r="A41" s="339"/>
      <c r="B41" s="420" t="s">
        <v>291</v>
      </c>
      <c r="C41" s="421" t="s">
        <v>291</v>
      </c>
      <c r="D41" s="216" t="s">
        <v>273</v>
      </c>
      <c r="E41" s="217">
        <v>2.83164908E-2</v>
      </c>
      <c r="F41" s="239"/>
      <c r="G41" s="420" t="s">
        <v>286</v>
      </c>
      <c r="H41" s="421" t="s">
        <v>286</v>
      </c>
      <c r="I41" s="216" t="s">
        <v>273</v>
      </c>
      <c r="J41" s="217">
        <v>2.37237397E-2</v>
      </c>
      <c r="K41" s="240"/>
      <c r="L41" s="221" t="s">
        <v>271</v>
      </c>
      <c r="M41" s="242"/>
      <c r="N41" s="216" t="s">
        <v>266</v>
      </c>
      <c r="O41" s="217">
        <v>2.7700907300000001E-2</v>
      </c>
      <c r="P41" s="239"/>
      <c r="Q41" s="420" t="s">
        <v>299</v>
      </c>
      <c r="R41" s="421" t="s">
        <v>299</v>
      </c>
      <c r="S41" s="216" t="s">
        <v>268</v>
      </c>
      <c r="T41" s="220">
        <v>2.6499999999999999E-2</v>
      </c>
      <c r="U41" s="218"/>
    </row>
    <row r="42" spans="1:21" s="197" customFormat="1" ht="26.25" customHeight="1" x14ac:dyDescent="0.3">
      <c r="A42" s="339"/>
      <c r="B42" s="450" t="s">
        <v>267</v>
      </c>
      <c r="C42" s="451" t="s">
        <v>267</v>
      </c>
      <c r="D42" s="216" t="s">
        <v>268</v>
      </c>
      <c r="E42" s="217">
        <v>2.8111733199999999E-2</v>
      </c>
      <c r="F42" s="239"/>
      <c r="G42" s="420" t="s">
        <v>291</v>
      </c>
      <c r="H42" s="421" t="s">
        <v>291</v>
      </c>
      <c r="I42" s="216" t="s">
        <v>273</v>
      </c>
      <c r="J42" s="217">
        <v>2.16088854E-2</v>
      </c>
      <c r="K42" s="240"/>
      <c r="L42" s="221" t="s">
        <v>289</v>
      </c>
      <c r="M42" s="242"/>
      <c r="N42" s="216" t="s">
        <v>296</v>
      </c>
      <c r="O42" s="217">
        <v>2.7059410400000001E-2</v>
      </c>
      <c r="P42" s="239"/>
      <c r="Q42" s="420" t="s">
        <v>300</v>
      </c>
      <c r="R42" s="421" t="s">
        <v>300</v>
      </c>
      <c r="S42" s="216" t="s">
        <v>273</v>
      </c>
      <c r="T42" s="220">
        <v>2.54030188E-2</v>
      </c>
      <c r="U42" s="218"/>
    </row>
    <row r="43" spans="1:21" s="197" customFormat="1" ht="26.25" customHeight="1" x14ac:dyDescent="0.3">
      <c r="A43" s="339"/>
      <c r="B43" s="420" t="s">
        <v>288</v>
      </c>
      <c r="C43" s="421" t="s">
        <v>288</v>
      </c>
      <c r="D43" s="216" t="s">
        <v>273</v>
      </c>
      <c r="E43" s="217">
        <v>2.70428302E-2</v>
      </c>
      <c r="F43" s="239"/>
      <c r="G43" s="420" t="s">
        <v>60</v>
      </c>
      <c r="H43" s="421" t="s">
        <v>60</v>
      </c>
      <c r="I43" s="216" t="s">
        <v>273</v>
      </c>
      <c r="J43" s="217">
        <v>2.0905240799999999E-2</v>
      </c>
      <c r="K43" s="240"/>
      <c r="L43" s="221" t="s">
        <v>279</v>
      </c>
      <c r="M43" s="242"/>
      <c r="N43" s="216" t="s">
        <v>273</v>
      </c>
      <c r="O43" s="217">
        <v>2.6883536400000001E-2</v>
      </c>
      <c r="P43" s="239"/>
      <c r="Q43" s="420" t="s">
        <v>301</v>
      </c>
      <c r="R43" s="421" t="s">
        <v>301</v>
      </c>
      <c r="S43" s="216" t="s">
        <v>273</v>
      </c>
      <c r="T43" s="220">
        <v>2.25881795E-2</v>
      </c>
      <c r="U43" s="218"/>
    </row>
    <row r="44" spans="1:21" s="197" customFormat="1" x14ac:dyDescent="0.3">
      <c r="A44" s="10"/>
      <c r="B44" s="356" t="s">
        <v>5</v>
      </c>
      <c r="C44" s="356"/>
      <c r="D44" s="356"/>
      <c r="E44" s="222">
        <f>SUM(E34:E43)</f>
        <v>0.46072599339999998</v>
      </c>
      <c r="F44" s="243"/>
      <c r="G44" s="356" t="s">
        <v>5</v>
      </c>
      <c r="H44" s="356"/>
      <c r="I44" s="356"/>
      <c r="J44" s="222">
        <f>SUM(J34:J43)</f>
        <v>0.38491884160000001</v>
      </c>
      <c r="K44" s="243"/>
      <c r="L44" s="154" t="s">
        <v>5</v>
      </c>
      <c r="M44" s="154"/>
      <c r="N44" s="154"/>
      <c r="O44" s="222">
        <f>SUM(O34:O43)</f>
        <v>0.47347217200000008</v>
      </c>
      <c r="P44" s="243"/>
      <c r="Q44" s="423" t="s">
        <v>5</v>
      </c>
      <c r="R44" s="423"/>
      <c r="S44" s="423"/>
      <c r="T44" s="222">
        <f>SUM(T34:T43)</f>
        <v>0.45969257350000003</v>
      </c>
      <c r="U44" s="223"/>
    </row>
    <row r="45" spans="1:21" s="173" customFormat="1" ht="29.25" customHeight="1" x14ac:dyDescent="0.3">
      <c r="A45" s="4"/>
      <c r="B45" s="448" t="s">
        <v>295</v>
      </c>
      <c r="C45" s="448"/>
      <c r="D45" s="448"/>
      <c r="E45" s="448"/>
      <c r="F45" s="19"/>
      <c r="G45" s="402"/>
      <c r="H45" s="404"/>
      <c r="I45" s="404"/>
      <c r="J45" s="449"/>
      <c r="K45" s="19"/>
      <c r="L45" s="345" t="s">
        <v>297</v>
      </c>
      <c r="M45" s="345"/>
      <c r="N45" s="345"/>
      <c r="O45" s="345"/>
      <c r="P45" s="19"/>
      <c r="Q45" s="430" t="s">
        <v>293</v>
      </c>
      <c r="R45" s="431"/>
      <c r="S45" s="431"/>
      <c r="T45" s="432"/>
      <c r="U45" s="19"/>
    </row>
    <row r="46" spans="1:21" s="18" customFormat="1" x14ac:dyDescent="0.3">
      <c r="A46" s="11" t="s">
        <v>38</v>
      </c>
      <c r="B46" s="408">
        <v>704.49</v>
      </c>
      <c r="C46" s="408">
        <v>1046.338</v>
      </c>
      <c r="D46" s="408">
        <v>1046.338</v>
      </c>
      <c r="E46" s="408">
        <v>1046.338</v>
      </c>
      <c r="F46" s="244"/>
      <c r="G46" s="408">
        <v>397.92</v>
      </c>
      <c r="H46" s="408">
        <v>430.32839999999999</v>
      </c>
      <c r="I46" s="408">
        <v>430.32839999999999</v>
      </c>
      <c r="J46" s="408">
        <v>430.32839999999999</v>
      </c>
      <c r="K46" s="244"/>
      <c r="L46" s="408">
        <v>179.47</v>
      </c>
      <c r="M46" s="408">
        <v>213.68939999999998</v>
      </c>
      <c r="N46" s="408">
        <v>213.68939999999998</v>
      </c>
      <c r="O46" s="408">
        <v>213.68939999999998</v>
      </c>
      <c r="P46" s="244"/>
      <c r="Q46" s="408">
        <v>927.09</v>
      </c>
      <c r="R46" s="408">
        <v>203.42490000000001</v>
      </c>
      <c r="S46" s="408">
        <v>203.42490000000001</v>
      </c>
      <c r="T46" s="408">
        <v>203.42490000000001</v>
      </c>
      <c r="U46" s="244"/>
    </row>
    <row r="47" spans="1:21" s="18" customFormat="1" x14ac:dyDescent="0.3">
      <c r="A47" s="12"/>
      <c r="B47" s="369"/>
      <c r="C47" s="369"/>
      <c r="D47" s="369"/>
      <c r="E47" s="369"/>
      <c r="F47" s="8"/>
      <c r="G47" s="369"/>
      <c r="H47" s="369"/>
      <c r="I47" s="369"/>
      <c r="J47" s="369"/>
      <c r="K47" s="8"/>
      <c r="L47" s="369"/>
      <c r="M47" s="369"/>
      <c r="N47" s="369"/>
      <c r="O47" s="369"/>
      <c r="P47" s="8"/>
      <c r="Q47" s="369"/>
      <c r="R47" s="369"/>
      <c r="S47" s="369"/>
      <c r="T47" s="369"/>
      <c r="U47" s="8"/>
    </row>
    <row r="48" spans="1:21" s="18" customFormat="1" x14ac:dyDescent="0.3">
      <c r="A48" s="11" t="s">
        <v>39</v>
      </c>
      <c r="B48" s="369"/>
      <c r="C48" s="369"/>
      <c r="D48" s="369"/>
      <c r="E48" s="369"/>
      <c r="F48" s="8"/>
      <c r="G48" s="369"/>
      <c r="H48" s="369"/>
      <c r="I48" s="369"/>
      <c r="J48" s="369"/>
      <c r="K48" s="8"/>
      <c r="L48" s="369"/>
      <c r="M48" s="369"/>
      <c r="N48" s="369"/>
      <c r="O48" s="369"/>
      <c r="P48" s="8"/>
      <c r="Q48" s="369"/>
      <c r="R48" s="369"/>
      <c r="S48" s="369"/>
      <c r="T48" s="369"/>
      <c r="U48" s="8"/>
    </row>
    <row r="49" spans="1:21" s="18" customFormat="1" x14ac:dyDescent="0.3">
      <c r="A49" s="12" t="s">
        <v>24</v>
      </c>
      <c r="B49" s="452">
        <v>2.3300000000000001E-2</v>
      </c>
      <c r="C49" s="452">
        <v>2.3300000000000001E-2</v>
      </c>
      <c r="D49" s="452">
        <v>2.3300000000000001E-2</v>
      </c>
      <c r="E49" s="452">
        <v>2.3300000000000001E-2</v>
      </c>
      <c r="F49" s="234"/>
      <c r="G49" s="452">
        <v>2.4799999999999999E-2</v>
      </c>
      <c r="H49" s="452">
        <v>2.4799999999999999E-2</v>
      </c>
      <c r="I49" s="452">
        <v>2.4799999999999999E-2</v>
      </c>
      <c r="J49" s="452">
        <v>2.4799999999999999E-2</v>
      </c>
      <c r="K49" s="234"/>
      <c r="L49" s="452">
        <v>2.46E-2</v>
      </c>
      <c r="M49" s="452">
        <v>2.46E-2</v>
      </c>
      <c r="N49" s="452">
        <v>2.46E-2</v>
      </c>
      <c r="O49" s="452">
        <v>2.46E-2</v>
      </c>
      <c r="P49" s="234"/>
      <c r="Q49" s="452">
        <v>1.09E-2</v>
      </c>
      <c r="R49" s="452">
        <v>1.09E-2</v>
      </c>
      <c r="S49" s="452">
        <v>1.09E-2</v>
      </c>
      <c r="T49" s="452">
        <v>1.09E-2</v>
      </c>
      <c r="U49" s="234"/>
    </row>
    <row r="50" spans="1:21" s="18" customFormat="1" x14ac:dyDescent="0.3">
      <c r="A50" s="4" t="s">
        <v>6</v>
      </c>
      <c r="B50" s="426">
        <v>9.9000000000000008E-3</v>
      </c>
      <c r="C50" s="426">
        <v>9.9000000000000008E-3</v>
      </c>
      <c r="D50" s="426">
        <v>9.9000000000000008E-3</v>
      </c>
      <c r="E50" s="426">
        <v>9.9000000000000008E-3</v>
      </c>
      <c r="F50" s="34"/>
      <c r="G50" s="426">
        <v>8.3999999999999995E-3</v>
      </c>
      <c r="H50" s="426">
        <v>8.3999999999999995E-3</v>
      </c>
      <c r="I50" s="426">
        <v>8.3999999999999995E-3</v>
      </c>
      <c r="J50" s="426">
        <v>8.3999999999999995E-3</v>
      </c>
      <c r="K50" s="34"/>
      <c r="L50" s="426">
        <v>6.6E-3</v>
      </c>
      <c r="M50" s="426">
        <v>6.6E-3</v>
      </c>
      <c r="N50" s="426">
        <v>6.6E-3</v>
      </c>
      <c r="O50" s="426">
        <v>6.6E-3</v>
      </c>
      <c r="P50" s="34"/>
      <c r="Q50" s="426">
        <v>4.0000000000000001E-3</v>
      </c>
      <c r="R50" s="426">
        <v>4.0000000000000001E-3</v>
      </c>
      <c r="S50" s="426">
        <v>4.0000000000000001E-3</v>
      </c>
      <c r="T50" s="426">
        <v>4.0000000000000001E-3</v>
      </c>
      <c r="U50" s="34"/>
    </row>
    <row r="51" spans="1:21" s="173" customFormat="1" ht="220.5" customHeight="1" x14ac:dyDescent="0.3">
      <c r="A51" s="224" t="s">
        <v>41</v>
      </c>
      <c r="B51" s="454"/>
      <c r="C51" s="454"/>
      <c r="D51" s="454"/>
      <c r="E51" s="454"/>
      <c r="F51" s="225"/>
      <c r="G51" s="454"/>
      <c r="H51" s="454"/>
      <c r="I51" s="454"/>
      <c r="J51" s="454"/>
      <c r="K51" s="225"/>
      <c r="L51" s="454"/>
      <c r="M51" s="454"/>
      <c r="N51" s="454"/>
      <c r="O51" s="454"/>
      <c r="P51" s="225"/>
      <c r="Q51" s="454"/>
      <c r="R51" s="454"/>
      <c r="S51" s="454"/>
      <c r="T51" s="454"/>
      <c r="U51" s="226"/>
    </row>
    <row r="52" spans="1:21" x14ac:dyDescent="0.3">
      <c r="A52" s="40" t="s">
        <v>42</v>
      </c>
      <c r="B52" s="227"/>
      <c r="C52" s="227"/>
      <c r="D52" s="227"/>
      <c r="E52" s="227"/>
      <c r="F52" s="228"/>
      <c r="G52" s="227"/>
      <c r="H52" s="227"/>
      <c r="I52" s="227"/>
      <c r="J52" s="227"/>
      <c r="K52" s="228"/>
      <c r="L52" s="227"/>
      <c r="M52" s="227"/>
      <c r="N52" s="227"/>
      <c r="O52" s="227"/>
      <c r="P52" s="228"/>
      <c r="Q52" s="227"/>
      <c r="R52" s="227"/>
      <c r="S52" s="227"/>
      <c r="T52" s="227"/>
      <c r="U52" s="17"/>
    </row>
    <row r="53" spans="1:21" ht="172.5" customHeight="1" x14ac:dyDescent="0.3">
      <c r="A53" s="15" t="s">
        <v>40</v>
      </c>
      <c r="F53" s="17"/>
      <c r="K53" s="17"/>
      <c r="P53" s="17"/>
      <c r="U53" s="17"/>
    </row>
    <row r="54" spans="1:21" x14ac:dyDescent="0.3">
      <c r="A54" s="180" t="s">
        <v>7</v>
      </c>
    </row>
    <row r="55" spans="1:21" ht="16.2" x14ac:dyDescent="0.3">
      <c r="A55" s="173" t="s">
        <v>8</v>
      </c>
    </row>
    <row r="56" spans="1:21" ht="36" customHeight="1" x14ac:dyDescent="0.3">
      <c r="A56" s="453" t="s">
        <v>28</v>
      </c>
      <c r="B56" s="453"/>
      <c r="C56" s="453"/>
      <c r="D56" s="453"/>
      <c r="E56" s="453"/>
      <c r="F56" s="453"/>
      <c r="G56" s="453"/>
      <c r="H56" s="453"/>
      <c r="I56" s="453"/>
      <c r="J56" s="453"/>
      <c r="K56" s="453"/>
      <c r="L56" s="453"/>
      <c r="M56" s="453"/>
      <c r="N56" s="453"/>
      <c r="O56" s="453"/>
      <c r="P56" s="453"/>
    </row>
    <row r="57" spans="1:21" x14ac:dyDescent="0.3">
      <c r="A57" s="15" t="s">
        <v>32</v>
      </c>
    </row>
    <row r="58" spans="1:21" x14ac:dyDescent="0.3">
      <c r="A58" s="15" t="s">
        <v>294</v>
      </c>
    </row>
    <row r="62" spans="1:21" x14ac:dyDescent="0.3">
      <c r="B62" s="229"/>
      <c r="C62" s="229"/>
      <c r="D62" s="230"/>
      <c r="E62" s="230"/>
      <c r="F62" s="230"/>
    </row>
  </sheetData>
  <mergeCells count="124">
    <mergeCell ref="A56:P56"/>
    <mergeCell ref="B50:E50"/>
    <mergeCell ref="G50:J50"/>
    <mergeCell ref="L50:O50"/>
    <mergeCell ref="Q50:T50"/>
    <mergeCell ref="B51:E51"/>
    <mergeCell ref="G51:J51"/>
    <mergeCell ref="L51:O51"/>
    <mergeCell ref="Q51:T51"/>
    <mergeCell ref="B48:E48"/>
    <mergeCell ref="G48:J48"/>
    <mergeCell ref="L48:O48"/>
    <mergeCell ref="Q48:T48"/>
    <mergeCell ref="B49:E49"/>
    <mergeCell ref="G49:J49"/>
    <mergeCell ref="L49:O49"/>
    <mergeCell ref="Q49:T49"/>
    <mergeCell ref="B46:E46"/>
    <mergeCell ref="G46:J46"/>
    <mergeCell ref="L46:O46"/>
    <mergeCell ref="Q46:T46"/>
    <mergeCell ref="B47:E47"/>
    <mergeCell ref="G47:J47"/>
    <mergeCell ref="L47:O47"/>
    <mergeCell ref="Q47:T47"/>
    <mergeCell ref="B44:D44"/>
    <mergeCell ref="G44:I44"/>
    <mergeCell ref="Q44:S44"/>
    <mergeCell ref="B45:E45"/>
    <mergeCell ref="G45:J45"/>
    <mergeCell ref="L45:O45"/>
    <mergeCell ref="Q45:T45"/>
    <mergeCell ref="B42:C42"/>
    <mergeCell ref="G42:H42"/>
    <mergeCell ref="Q42:R42"/>
    <mergeCell ref="B43:C43"/>
    <mergeCell ref="G43:H43"/>
    <mergeCell ref="Q43:R43"/>
    <mergeCell ref="B41:C41"/>
    <mergeCell ref="G41:H41"/>
    <mergeCell ref="Q41:R41"/>
    <mergeCell ref="B38:C38"/>
    <mergeCell ref="G38:H38"/>
    <mergeCell ref="Q38:R38"/>
    <mergeCell ref="B39:C39"/>
    <mergeCell ref="G39:H39"/>
    <mergeCell ref="Q39:R39"/>
    <mergeCell ref="B37:C37"/>
    <mergeCell ref="G37:H37"/>
    <mergeCell ref="Q37:R37"/>
    <mergeCell ref="B33:C33"/>
    <mergeCell ref="G33:H33"/>
    <mergeCell ref="L33:M33"/>
    <mergeCell ref="Q33:R33"/>
    <mergeCell ref="B40:C40"/>
    <mergeCell ref="G40:H40"/>
    <mergeCell ref="Q40:R40"/>
    <mergeCell ref="B14:C14"/>
    <mergeCell ref="D14:E14"/>
    <mergeCell ref="I14:J14"/>
    <mergeCell ref="N14:O14"/>
    <mergeCell ref="Q14:T14"/>
    <mergeCell ref="A34:A43"/>
    <mergeCell ref="B34:C34"/>
    <mergeCell ref="G34:H34"/>
    <mergeCell ref="Q34:R34"/>
    <mergeCell ref="B35:C35"/>
    <mergeCell ref="G35:H35"/>
    <mergeCell ref="A15:A16"/>
    <mergeCell ref="B15:E15"/>
    <mergeCell ref="G15:J15"/>
    <mergeCell ref="L15:O15"/>
    <mergeCell ref="Q15:T15"/>
    <mergeCell ref="B24:E24"/>
    <mergeCell ref="G24:J24"/>
    <mergeCell ref="L24:O24"/>
    <mergeCell ref="Q24:T24"/>
    <mergeCell ref="Q35:R35"/>
    <mergeCell ref="B36:C36"/>
    <mergeCell ref="G36:H36"/>
    <mergeCell ref="Q36:R36"/>
    <mergeCell ref="B11:E11"/>
    <mergeCell ref="G11:J11"/>
    <mergeCell ref="L11:O11"/>
    <mergeCell ref="Q11:T11"/>
    <mergeCell ref="A12:A13"/>
    <mergeCell ref="B12:C13"/>
    <mergeCell ref="D12:E13"/>
    <mergeCell ref="G12:G13"/>
    <mergeCell ref="H12:H13"/>
    <mergeCell ref="I12:J13"/>
    <mergeCell ref="L12:L13"/>
    <mergeCell ref="M12:M13"/>
    <mergeCell ref="N12:O13"/>
    <mergeCell ref="Q12:T13"/>
    <mergeCell ref="B9:E9"/>
    <mergeCell ref="G9:J9"/>
    <mergeCell ref="L9:O9"/>
    <mergeCell ref="Q9:T9"/>
    <mergeCell ref="B10:E10"/>
    <mergeCell ref="G10:J10"/>
    <mergeCell ref="L10:O10"/>
    <mergeCell ref="Q10:T10"/>
    <mergeCell ref="B7:E7"/>
    <mergeCell ref="G7:J8"/>
    <mergeCell ref="L7:O8"/>
    <mergeCell ref="Q7:T7"/>
    <mergeCell ref="B8:E8"/>
    <mergeCell ref="Q8:T8"/>
    <mergeCell ref="B5:E5"/>
    <mergeCell ref="G5:J5"/>
    <mergeCell ref="L5:O5"/>
    <mergeCell ref="Q5:T5"/>
    <mergeCell ref="B6:E6"/>
    <mergeCell ref="G6:J6"/>
    <mergeCell ref="L6:O6"/>
    <mergeCell ref="Q6:T6"/>
    <mergeCell ref="A1:U1"/>
    <mergeCell ref="A2:U2"/>
    <mergeCell ref="A3:A4"/>
    <mergeCell ref="B3:E4"/>
    <mergeCell ref="G3:J4"/>
    <mergeCell ref="L3:O4"/>
    <mergeCell ref="Q3:T4"/>
  </mergeCells>
  <hyperlinks>
    <hyperlink ref="A33" r:id="rId1" display="https://www.invescomutualfund.com/literature-and-form?tab=Complete" xr:uid="{5A9C6DE7-5F59-45B6-9A14-84EAA3BBB008}"/>
  </hyperlinks>
  <pageMargins left="0.7" right="0.7" top="0.75" bottom="0.75" header="0.3" footer="0.3"/>
  <pageSetup paperSize="8" scale="61" fitToWidth="0" orientation="landscape" r:id="rId2"/>
  <drawing r:id="rId3"/>
  <legacyDrawing r:id="rId4"/>
  <oleObjects>
    <mc:AlternateContent xmlns:mc="http://schemas.openxmlformats.org/markup-compatibility/2006">
      <mc:Choice Requires="x14">
        <oleObject progId="Word.Document.12" shapeId="3073" r:id="rId5">
          <objectPr defaultSize="0" r:id="rId6">
            <anchor moveWithCells="1">
              <from>
                <xdr:col>1</xdr:col>
                <xdr:colOff>106680</xdr:colOff>
                <xdr:row>50</xdr:row>
                <xdr:rowOff>121920</xdr:rowOff>
              </from>
              <to>
                <xdr:col>4</xdr:col>
                <xdr:colOff>1059180</xdr:colOff>
                <xdr:row>50</xdr:row>
                <xdr:rowOff>693420</xdr:rowOff>
              </to>
            </anchor>
          </objectPr>
        </oleObject>
      </mc:Choice>
      <mc:Fallback>
        <oleObject progId="Word.Document.12" shapeId="3073" r:id="rId5"/>
      </mc:Fallback>
    </mc:AlternateContent>
    <mc:AlternateContent xmlns:mc="http://schemas.openxmlformats.org/markup-compatibility/2006">
      <mc:Choice Requires="x14">
        <oleObject progId="Word.Document.12" shapeId="3074" r:id="rId7">
          <objectPr defaultSize="0" r:id="rId8">
            <anchor moveWithCells="1">
              <from>
                <xdr:col>6</xdr:col>
                <xdr:colOff>175260</xdr:colOff>
                <xdr:row>50</xdr:row>
                <xdr:rowOff>137160</xdr:rowOff>
              </from>
              <to>
                <xdr:col>9</xdr:col>
                <xdr:colOff>960120</xdr:colOff>
                <xdr:row>50</xdr:row>
                <xdr:rowOff>708660</xdr:rowOff>
              </to>
            </anchor>
          </objectPr>
        </oleObject>
      </mc:Choice>
      <mc:Fallback>
        <oleObject progId="Word.Document.12" shapeId="3074" r:id="rId7"/>
      </mc:Fallback>
    </mc:AlternateContent>
    <mc:AlternateContent xmlns:mc="http://schemas.openxmlformats.org/markup-compatibility/2006">
      <mc:Choice Requires="x14">
        <oleObject progId="Word.Document.12" shapeId="3075" r:id="rId9">
          <objectPr defaultSize="0" r:id="rId10">
            <anchor moveWithCells="1">
              <from>
                <xdr:col>11</xdr:col>
                <xdr:colOff>495300</xdr:colOff>
                <xdr:row>50</xdr:row>
                <xdr:rowOff>76200</xdr:rowOff>
              </from>
              <to>
                <xdr:col>14</xdr:col>
                <xdr:colOff>822960</xdr:colOff>
                <xdr:row>50</xdr:row>
                <xdr:rowOff>792480</xdr:rowOff>
              </to>
            </anchor>
          </objectPr>
        </oleObject>
      </mc:Choice>
      <mc:Fallback>
        <oleObject progId="Word.Document.12" shapeId="3075" r:id="rId9"/>
      </mc:Fallback>
    </mc:AlternateContent>
    <mc:AlternateContent xmlns:mc="http://schemas.openxmlformats.org/markup-compatibility/2006">
      <mc:Choice Requires="x14">
        <oleObject progId="Word.Document.12" shapeId="3076" r:id="rId11">
          <objectPr defaultSize="0" r:id="rId12">
            <anchor moveWithCells="1">
              <from>
                <xdr:col>16</xdr:col>
                <xdr:colOff>198120</xdr:colOff>
                <xdr:row>50</xdr:row>
                <xdr:rowOff>76200</xdr:rowOff>
              </from>
              <to>
                <xdr:col>19</xdr:col>
                <xdr:colOff>1036320</xdr:colOff>
                <xdr:row>50</xdr:row>
                <xdr:rowOff>792480</xdr:rowOff>
              </to>
            </anchor>
          </objectPr>
        </oleObject>
      </mc:Choice>
      <mc:Fallback>
        <oleObject progId="Word.Document.12" shapeId="3076" r:id="rId11"/>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BCC4-734D-42DF-94B9-4559DD602544}">
  <dimension ref="A1:EF59"/>
  <sheetViews>
    <sheetView showGridLines="0" zoomScaleNormal="100" workbookViewId="0">
      <pane xSplit="1" ySplit="16" topLeftCell="B17" activePane="bottomRight" state="frozen"/>
      <selection activeCell="A5" sqref="A5"/>
      <selection pane="topRight" activeCell="A5" sqref="A5"/>
      <selection pane="bottomLeft" activeCell="A5" sqref="A5"/>
      <selection pane="bottomRight" activeCell="A10" sqref="A10"/>
    </sheetView>
  </sheetViews>
  <sheetFormatPr defaultColWidth="9.109375" defaultRowHeight="14.4" x14ac:dyDescent="0.3"/>
  <cols>
    <col min="1" max="1" width="46.6640625" style="296" customWidth="1"/>
    <col min="2" max="4" width="22.5546875" style="296" customWidth="1"/>
    <col min="5" max="5" width="0.44140625" customWidth="1"/>
    <col min="6" max="7" width="22.5546875" style="296" customWidth="1"/>
    <col min="8" max="8" width="22.5546875" style="312" customWidth="1"/>
    <col min="9" max="9" width="0.44140625" customWidth="1"/>
    <col min="10" max="13" width="18.5546875" style="296" customWidth="1"/>
    <col min="14" max="14" width="0.44140625" customWidth="1"/>
    <col min="45" max="16384" width="9.109375" style="296"/>
  </cols>
  <sheetData>
    <row r="1" spans="1:136" x14ac:dyDescent="0.3">
      <c r="A1" s="291" t="s">
        <v>11</v>
      </c>
      <c r="B1" s="291"/>
      <c r="C1" s="291"/>
      <c r="D1" s="291"/>
      <c r="E1" s="291"/>
      <c r="F1" s="291"/>
      <c r="G1" s="291"/>
      <c r="H1" s="291"/>
      <c r="I1" s="291"/>
      <c r="J1" s="291"/>
      <c r="K1" s="291"/>
      <c r="L1" s="291"/>
      <c r="M1" s="291"/>
      <c r="N1" s="292"/>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5"/>
    </row>
    <row r="2" spans="1:136" s="256" customFormat="1" x14ac:dyDescent="0.3">
      <c r="A2" s="399" t="s">
        <v>44</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1"/>
      <c r="BD2" s="251"/>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4"/>
      <c r="EF2" s="255"/>
    </row>
    <row r="3" spans="1:136" x14ac:dyDescent="0.3">
      <c r="A3" s="457" t="s">
        <v>13</v>
      </c>
      <c r="B3" s="455" t="s">
        <v>416</v>
      </c>
      <c r="C3" s="455"/>
      <c r="D3" s="455"/>
      <c r="E3" s="257"/>
      <c r="F3" s="455" t="s">
        <v>417</v>
      </c>
      <c r="G3" s="455"/>
      <c r="H3" s="455"/>
      <c r="I3" s="257"/>
      <c r="J3" s="455" t="s">
        <v>418</v>
      </c>
      <c r="K3" s="455"/>
      <c r="L3" s="455"/>
      <c r="M3" s="455"/>
      <c r="N3" s="257"/>
    </row>
    <row r="4" spans="1:136" ht="7.2" customHeight="1" x14ac:dyDescent="0.3">
      <c r="A4" s="458"/>
      <c r="B4" s="455"/>
      <c r="C4" s="455"/>
      <c r="D4" s="455"/>
      <c r="E4" s="257"/>
      <c r="F4" s="455"/>
      <c r="G4" s="455"/>
      <c r="H4" s="455"/>
      <c r="I4" s="257"/>
      <c r="J4" s="455"/>
      <c r="K4" s="455"/>
      <c r="L4" s="455"/>
      <c r="M4" s="455"/>
      <c r="N4" s="257"/>
    </row>
    <row r="5" spans="1:136" s="297" customFormat="1" ht="23.4" customHeight="1" x14ac:dyDescent="0.3">
      <c r="A5" s="258" t="s">
        <v>1</v>
      </c>
      <c r="B5" s="455" t="s">
        <v>419</v>
      </c>
      <c r="C5" s="455"/>
      <c r="D5" s="455"/>
      <c r="E5" s="24"/>
      <c r="F5" s="456" t="s">
        <v>420</v>
      </c>
      <c r="G5" s="456"/>
      <c r="H5" s="456"/>
      <c r="I5" s="24"/>
      <c r="J5" s="456" t="s">
        <v>421</v>
      </c>
      <c r="K5" s="456"/>
      <c r="L5" s="456"/>
      <c r="M5" s="456"/>
      <c r="N5" s="2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row>
    <row r="6" spans="1:136" s="297" customFormat="1" x14ac:dyDescent="0.3">
      <c r="A6" s="298" t="s">
        <v>15</v>
      </c>
      <c r="B6" s="459"/>
      <c r="C6" s="460"/>
      <c r="D6" s="461"/>
      <c r="E6" s="24"/>
      <c r="F6" s="460"/>
      <c r="G6" s="460"/>
      <c r="H6" s="461"/>
      <c r="I6" s="24"/>
      <c r="J6" s="459"/>
      <c r="K6" s="460"/>
      <c r="L6" s="460"/>
      <c r="M6" s="461"/>
      <c r="N6" s="2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row>
    <row r="7" spans="1:136" s="297" customFormat="1" x14ac:dyDescent="0.3">
      <c r="A7" s="259" t="s">
        <v>9</v>
      </c>
      <c r="B7" s="462">
        <v>40707</v>
      </c>
      <c r="C7" s="463"/>
      <c r="D7" s="464"/>
      <c r="E7" s="24"/>
      <c r="F7" s="462">
        <v>40249</v>
      </c>
      <c r="G7" s="463"/>
      <c r="H7" s="464"/>
      <c r="I7" s="24"/>
      <c r="J7" s="462">
        <v>40882</v>
      </c>
      <c r="K7" s="463"/>
      <c r="L7" s="463"/>
      <c r="M7" s="464"/>
      <c r="N7" s="2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row>
    <row r="8" spans="1:136" s="297" customFormat="1" x14ac:dyDescent="0.3">
      <c r="A8" s="259" t="s">
        <v>0</v>
      </c>
      <c r="B8" s="462" t="s">
        <v>47</v>
      </c>
      <c r="C8" s="463"/>
      <c r="D8" s="464"/>
      <c r="E8" s="24"/>
      <c r="F8" s="462" t="s">
        <v>47</v>
      </c>
      <c r="G8" s="463"/>
      <c r="H8" s="464"/>
      <c r="I8" s="24"/>
      <c r="J8" s="462">
        <v>41275</v>
      </c>
      <c r="K8" s="463"/>
      <c r="L8" s="463"/>
      <c r="M8" s="464"/>
      <c r="N8" s="2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row>
    <row r="9" spans="1:136" s="297" customFormat="1" x14ac:dyDescent="0.3">
      <c r="A9" s="258" t="s">
        <v>14</v>
      </c>
      <c r="B9" s="462" t="s">
        <v>47</v>
      </c>
      <c r="C9" s="463"/>
      <c r="D9" s="464"/>
      <c r="E9" s="24"/>
      <c r="F9" s="462" t="s">
        <v>47</v>
      </c>
      <c r="G9" s="463"/>
      <c r="H9" s="464"/>
      <c r="I9" s="24"/>
      <c r="J9" s="462" t="s">
        <v>47</v>
      </c>
      <c r="K9" s="463"/>
      <c r="L9" s="463"/>
      <c r="M9" s="464"/>
      <c r="N9" s="2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row>
    <row r="10" spans="1:136" s="297" customFormat="1" ht="48.6" customHeight="1" x14ac:dyDescent="0.3">
      <c r="A10" s="260" t="s">
        <v>192</v>
      </c>
      <c r="B10" s="465" t="s">
        <v>422</v>
      </c>
      <c r="C10" s="466"/>
      <c r="D10" s="467"/>
      <c r="E10" s="24"/>
      <c r="F10" s="465" t="s">
        <v>423</v>
      </c>
      <c r="G10" s="466"/>
      <c r="H10" s="467"/>
      <c r="I10" s="24"/>
      <c r="J10" s="465" t="s">
        <v>424</v>
      </c>
      <c r="K10" s="466"/>
      <c r="L10" s="468"/>
      <c r="M10" s="469"/>
      <c r="N10" s="2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row>
    <row r="11" spans="1:136" s="297" customFormat="1" ht="23.4" customHeight="1" x14ac:dyDescent="0.3">
      <c r="A11" s="258" t="s">
        <v>2</v>
      </c>
      <c r="B11" s="455" t="s">
        <v>425</v>
      </c>
      <c r="C11" s="455"/>
      <c r="D11" s="455"/>
      <c r="E11" s="24"/>
      <c r="F11" s="455" t="s">
        <v>426</v>
      </c>
      <c r="G11" s="455"/>
      <c r="H11" s="455"/>
      <c r="I11" s="24"/>
      <c r="J11" s="455" t="s">
        <v>426</v>
      </c>
      <c r="K11" s="455"/>
      <c r="L11" s="455"/>
      <c r="M11" s="455"/>
      <c r="N11" s="2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row>
    <row r="12" spans="1:136" s="284" customFormat="1" ht="15" customHeight="1" x14ac:dyDescent="0.3">
      <c r="A12" s="406" t="s">
        <v>3</v>
      </c>
      <c r="B12" s="470" t="s">
        <v>427</v>
      </c>
      <c r="C12" s="470"/>
      <c r="D12" s="470"/>
      <c r="E12" s="24"/>
      <c r="F12" s="471" t="s">
        <v>251</v>
      </c>
      <c r="G12" s="472"/>
      <c r="H12" s="473"/>
      <c r="I12" s="24"/>
      <c r="J12" s="471" t="s">
        <v>251</v>
      </c>
      <c r="K12" s="472"/>
      <c r="L12" s="472"/>
      <c r="M12" s="473"/>
      <c r="N12" s="24"/>
    </row>
    <row r="13" spans="1:136" s="284" customFormat="1" ht="15" customHeight="1" x14ac:dyDescent="0.3">
      <c r="A13" s="406"/>
      <c r="B13" s="470"/>
      <c r="C13" s="470"/>
      <c r="D13" s="470"/>
      <c r="E13" s="24"/>
      <c r="F13" s="474"/>
      <c r="G13" s="475"/>
      <c r="H13" s="476"/>
      <c r="I13" s="24"/>
      <c r="J13" s="474"/>
      <c r="K13" s="475"/>
      <c r="L13" s="475"/>
      <c r="M13" s="476"/>
      <c r="N13" s="24"/>
    </row>
    <row r="14" spans="1:136" s="284" customFormat="1" x14ac:dyDescent="0.3">
      <c r="A14" s="163" t="s">
        <v>343</v>
      </c>
      <c r="B14" s="419" t="s">
        <v>256</v>
      </c>
      <c r="C14" s="419"/>
      <c r="D14" s="419"/>
      <c r="E14" s="24"/>
      <c r="F14" s="477" t="s">
        <v>350</v>
      </c>
      <c r="G14" s="478"/>
      <c r="H14" s="479"/>
      <c r="I14" s="24"/>
      <c r="J14" s="477" t="s">
        <v>350</v>
      </c>
      <c r="K14" s="478"/>
      <c r="L14" s="478"/>
      <c r="M14" s="479"/>
      <c r="N14" s="24"/>
    </row>
    <row r="15" spans="1:136" s="284" customFormat="1" ht="19.5" customHeight="1" x14ac:dyDescent="0.3">
      <c r="A15" s="480" t="s">
        <v>260</v>
      </c>
      <c r="B15" s="482" t="s">
        <v>20</v>
      </c>
      <c r="C15" s="483"/>
      <c r="D15" s="484"/>
      <c r="E15" s="24"/>
      <c r="F15" s="482" t="s">
        <v>20</v>
      </c>
      <c r="G15" s="483"/>
      <c r="H15" s="484"/>
      <c r="I15" s="24"/>
      <c r="J15" s="482" t="s">
        <v>20</v>
      </c>
      <c r="K15" s="483"/>
      <c r="L15" s="483"/>
      <c r="M15" s="484"/>
      <c r="N15" s="24"/>
    </row>
    <row r="16" spans="1:136" s="299" customFormat="1" ht="34.5" customHeight="1" x14ac:dyDescent="0.3">
      <c r="A16" s="481"/>
      <c r="B16" s="261" t="s">
        <v>9</v>
      </c>
      <c r="C16" s="261" t="s">
        <v>428</v>
      </c>
      <c r="D16" s="261" t="s">
        <v>429</v>
      </c>
      <c r="E16" s="37"/>
      <c r="F16" s="261" t="s">
        <v>9</v>
      </c>
      <c r="G16" s="261" t="s">
        <v>426</v>
      </c>
      <c r="H16" s="261" t="s">
        <v>430</v>
      </c>
      <c r="I16" s="37"/>
      <c r="J16" s="261" t="s">
        <v>9</v>
      </c>
      <c r="K16" s="261" t="s">
        <v>0</v>
      </c>
      <c r="L16" s="261" t="s">
        <v>426</v>
      </c>
      <c r="M16" s="261" t="s">
        <v>47</v>
      </c>
      <c r="N16" s="37"/>
    </row>
    <row r="17" spans="1:44" s="284" customFormat="1" x14ac:dyDescent="0.3">
      <c r="A17" s="163" t="s">
        <v>4</v>
      </c>
      <c r="B17" s="263" t="str">
        <f>TEXT(28.33%, "0.00%")</f>
        <v>28.33%</v>
      </c>
      <c r="C17" s="263" t="str">
        <f>TEXT(28.5%, "0.00%")</f>
        <v>28.50%</v>
      </c>
      <c r="D17" s="263" t="str">
        <f>TEXT(26.45%, "0.00%")</f>
        <v>26.45%</v>
      </c>
      <c r="E17" s="8"/>
      <c r="F17" s="263" t="str">
        <f>TEXT(-2.93%, "0.00%")</f>
        <v>-2.93%</v>
      </c>
      <c r="G17" s="263" t="str">
        <f>TEXT(-2.5%, "0.00%")</f>
        <v>-2.50%</v>
      </c>
      <c r="H17" s="263" t="s">
        <v>188</v>
      </c>
      <c r="I17" s="8"/>
      <c r="J17" s="263" t="str">
        <f>TEXT(-5.72%, "0.00%")</f>
        <v>-5.72%</v>
      </c>
      <c r="K17" s="263" t="str">
        <f>TEXT(-5.35%, "0.00%")</f>
        <v>-5.35%</v>
      </c>
      <c r="L17" s="263" t="str">
        <f>TEXT(-2.5%, "0.00%")</f>
        <v>-2.50%</v>
      </c>
      <c r="M17" s="263" t="s">
        <v>188</v>
      </c>
      <c r="N17" s="8"/>
    </row>
    <row r="18" spans="1:44" s="284" customFormat="1" x14ac:dyDescent="0.3">
      <c r="A18" s="163" t="s">
        <v>16</v>
      </c>
      <c r="B18" s="263" t="str">
        <f>TEXT(18.12%, "0.00%")</f>
        <v>18.12%</v>
      </c>
      <c r="C18" s="263" t="str">
        <f>TEXT(18.35%, "0.00%")</f>
        <v>18.35%</v>
      </c>
      <c r="D18" s="263" t="str">
        <f>TEXT(18.26%, "0.00%")</f>
        <v>18.26%</v>
      </c>
      <c r="E18" s="8"/>
      <c r="F18" s="263" t="str">
        <f>TEXT(12.23%, "0.00%")</f>
        <v>12.23%</v>
      </c>
      <c r="G18" s="263" t="str">
        <f>TEXT(12.83%, "0.00%")</f>
        <v>12.83%</v>
      </c>
      <c r="H18" s="263" t="s">
        <v>188</v>
      </c>
      <c r="I18" s="8"/>
      <c r="J18" s="263" t="str">
        <f>TEXT(10.84%, "0.00%")</f>
        <v>10.84%</v>
      </c>
      <c r="K18" s="263" t="str">
        <f>TEXT(11.28%, "0.00%")</f>
        <v>11.28%</v>
      </c>
      <c r="L18" s="263" t="str">
        <f>TEXT(12.83%, "0.00%")</f>
        <v>12.83%</v>
      </c>
      <c r="M18" s="263" t="s">
        <v>188</v>
      </c>
      <c r="N18" s="8"/>
    </row>
    <row r="19" spans="1:44" s="284" customFormat="1" x14ac:dyDescent="0.3">
      <c r="A19" s="163" t="s">
        <v>17</v>
      </c>
      <c r="B19" s="263" t="str">
        <f>TEXT(16.4%, "0.00%")</f>
        <v>16.40%</v>
      </c>
      <c r="C19" s="263" t="str">
        <f>TEXT(16.6%, "0.00%")</f>
        <v>16.60%</v>
      </c>
      <c r="D19" s="263" t="str">
        <f>TEXT(17.33%, "0.00%")</f>
        <v>17.33%</v>
      </c>
      <c r="E19" s="8"/>
      <c r="F19" s="263" t="str">
        <f>TEXT(9.55%, "0.00%")</f>
        <v>9.55%</v>
      </c>
      <c r="G19" s="263" t="str">
        <f>TEXT(10.34%, "0.00%")</f>
        <v>10.34%</v>
      </c>
      <c r="H19" s="263" t="s">
        <v>188</v>
      </c>
      <c r="I19" s="8"/>
      <c r="J19" s="263" t="str">
        <f>TEXT(8.81%, "0.00%")</f>
        <v>8.81%</v>
      </c>
      <c r="K19" s="263" t="str">
        <f>TEXT(9.18%, "0.00%")</f>
        <v>9.18%</v>
      </c>
      <c r="L19" s="263" t="str">
        <f>TEXT(10.34%, "0.00%")</f>
        <v>10.34%</v>
      </c>
      <c r="M19" s="263" t="s">
        <v>188</v>
      </c>
      <c r="N19" s="8"/>
    </row>
    <row r="20" spans="1:44" s="284" customFormat="1" x14ac:dyDescent="0.3">
      <c r="A20" s="163" t="s">
        <v>18</v>
      </c>
      <c r="B20" s="263" t="str">
        <f>TEXT(11.34%, "0.00%")</f>
        <v>11.34%</v>
      </c>
      <c r="C20" s="263" t="str">
        <f>TEXT(11.51%, "0.00%")</f>
        <v>11.51%</v>
      </c>
      <c r="D20" s="263" t="str">
        <f>TEXT(11.69%, "0.00%")</f>
        <v>11.69%</v>
      </c>
      <c r="E20" s="8"/>
      <c r="F20" s="263" t="str">
        <f>TEXT(7.09%, "0.00%")</f>
        <v>7.09%</v>
      </c>
      <c r="G20" s="263" t="str">
        <f>TEXT(7.94%, "0.00%")</f>
        <v>7.94%</v>
      </c>
      <c r="H20" s="263" t="s">
        <v>188</v>
      </c>
      <c r="I20" s="8"/>
      <c r="J20" s="263" t="str">
        <f>TEXT(6.38%, "0.00%")</f>
        <v>6.38%</v>
      </c>
      <c r="K20" s="263" t="str">
        <f>TEXT(6.72%, "0.00%")</f>
        <v>6.72%</v>
      </c>
      <c r="L20" s="263" t="str">
        <f>TEXT(7.94%, "0.00%")</f>
        <v>7.94%</v>
      </c>
      <c r="M20" s="263" t="s">
        <v>188</v>
      </c>
      <c r="N20" s="8"/>
    </row>
    <row r="21" spans="1:44" s="284" customFormat="1" x14ac:dyDescent="0.3">
      <c r="A21" s="163" t="s">
        <v>19</v>
      </c>
      <c r="B21" s="263" t="str">
        <f>TEXT(13.84%, "0.00%")</f>
        <v>13.84%</v>
      </c>
      <c r="C21" s="263" t="str">
        <f>TEXT(14.18%, "0.00%")</f>
        <v>14.18%</v>
      </c>
      <c r="D21" s="263" t="str">
        <f>TEXT(14.45%, "0.00%")</f>
        <v>14.45%</v>
      </c>
      <c r="E21" s="8"/>
      <c r="F21" s="263" t="str">
        <f>TEXT(4.37%, "0.00%")</f>
        <v>4.37%</v>
      </c>
      <c r="G21" s="263" t="str">
        <f>TEXT(5.25%, "0.00%")</f>
        <v>5.25%</v>
      </c>
      <c r="H21" s="263" t="s">
        <v>188</v>
      </c>
      <c r="I21" s="8"/>
      <c r="J21" s="263" t="str">
        <f>TEXT(3.76%, "0.00%")</f>
        <v>3.76%</v>
      </c>
      <c r="K21" s="263" t="s">
        <v>188</v>
      </c>
      <c r="L21" s="263" t="str">
        <f>TEXT(5.25%, "0.00%")</f>
        <v>5.25%</v>
      </c>
      <c r="M21" s="263" t="s">
        <v>188</v>
      </c>
      <c r="N21" s="8"/>
    </row>
    <row r="22" spans="1:44" s="284" customFormat="1" x14ac:dyDescent="0.3">
      <c r="A22" s="163" t="s">
        <v>22</v>
      </c>
      <c r="B22" s="263" t="str">
        <f>TEXT(12.42%, "0.00%")</f>
        <v>12.42%</v>
      </c>
      <c r="C22" s="263" t="str">
        <f>TEXT(12.79%, "0.00%")</f>
        <v>12.79%</v>
      </c>
      <c r="D22" s="263" t="str">
        <f>TEXT(12.98%, "0.00%")</f>
        <v>12.98%</v>
      </c>
      <c r="E22" s="8"/>
      <c r="F22" s="263" t="str">
        <f>TEXT(8.24%, "0.00%")</f>
        <v>8.24%</v>
      </c>
      <c r="G22" s="263" t="str">
        <f>TEXT(9.17%, "0.00%")</f>
        <v>9.17%</v>
      </c>
      <c r="H22" s="263" t="s">
        <v>188</v>
      </c>
      <c r="I22" s="8"/>
      <c r="J22" s="263" t="str">
        <f>TEXT(3.44%, "0.00%")</f>
        <v>3.44%</v>
      </c>
      <c r="K22" s="263" t="s">
        <v>188</v>
      </c>
      <c r="L22" s="263" t="str">
        <f>TEXT(4.9%, "0.00%")</f>
        <v>4.90%</v>
      </c>
      <c r="M22" s="263" t="s">
        <v>188</v>
      </c>
      <c r="N22" s="8"/>
    </row>
    <row r="23" spans="1:44" s="284" customFormat="1" x14ac:dyDescent="0.3">
      <c r="A23" s="163" t="s">
        <v>23</v>
      </c>
      <c r="B23" s="263" t="s">
        <v>188</v>
      </c>
      <c r="C23" s="263" t="s">
        <v>188</v>
      </c>
      <c r="D23" s="263" t="s">
        <v>188</v>
      </c>
      <c r="E23" s="8"/>
      <c r="F23" s="263" t="s">
        <v>188</v>
      </c>
      <c r="G23" s="263" t="s">
        <v>188</v>
      </c>
      <c r="H23" s="263" t="s">
        <v>188</v>
      </c>
      <c r="I23" s="8"/>
      <c r="J23" s="263" t="s">
        <v>188</v>
      </c>
      <c r="K23" s="263" t="str">
        <f>TEXT(3.61%, "0.00%")</f>
        <v>3.61%</v>
      </c>
      <c r="L23" s="263" t="str">
        <f>TEXT(4.93%, "0.00%")</f>
        <v>4.93%</v>
      </c>
      <c r="M23" s="263" t="s">
        <v>188</v>
      </c>
      <c r="N23" s="8"/>
    </row>
    <row r="24" spans="1:44" s="284" customFormat="1" ht="27.9" customHeight="1" x14ac:dyDescent="0.3">
      <c r="A24" s="163"/>
      <c r="B24" s="485" t="s">
        <v>21</v>
      </c>
      <c r="C24" s="486"/>
      <c r="D24" s="487"/>
      <c r="E24" s="8"/>
      <c r="F24" s="485" t="s">
        <v>21</v>
      </c>
      <c r="G24" s="486"/>
      <c r="H24" s="487"/>
      <c r="I24" s="8"/>
      <c r="J24" s="485" t="s">
        <v>21</v>
      </c>
      <c r="K24" s="486"/>
      <c r="L24" s="486"/>
      <c r="M24" s="486"/>
      <c r="N24" s="8"/>
    </row>
    <row r="25" spans="1:44" s="300" customFormat="1" x14ac:dyDescent="0.3">
      <c r="A25" s="163" t="s">
        <v>4</v>
      </c>
      <c r="B25" s="263" t="str">
        <f>TEXT("12,850", "0,0")</f>
        <v>12,850</v>
      </c>
      <c r="C25" s="263" t="str">
        <f>TEXT("12,868", "0,0")</f>
        <v>12,868</v>
      </c>
      <c r="D25" s="263" t="str">
        <f>TEXT("12,662", "0,0")</f>
        <v>12,662</v>
      </c>
      <c r="E25" s="8"/>
      <c r="F25" s="263" t="str">
        <f>TEXT("9,706", "0,0")</f>
        <v>9,706</v>
      </c>
      <c r="G25" s="263" t="str">
        <f>TEXT("9,749", "0,0")</f>
        <v>9,749</v>
      </c>
      <c r="H25" s="263" t="s">
        <v>188</v>
      </c>
      <c r="I25" s="8"/>
      <c r="J25" s="263" t="str">
        <f>TEXT("9,425", "0,0")</f>
        <v>9,425</v>
      </c>
      <c r="K25" s="263" t="str">
        <f>TEXT("9,462", "0,0")</f>
        <v>9,462</v>
      </c>
      <c r="L25" s="263" t="str">
        <f>TEXT("9,749", "0,0")</f>
        <v>9,749</v>
      </c>
      <c r="M25" s="263" t="s">
        <v>188</v>
      </c>
      <c r="N25" s="8"/>
    </row>
    <row r="26" spans="1:44" s="284" customFormat="1" x14ac:dyDescent="0.3">
      <c r="A26" s="163" t="s">
        <v>16</v>
      </c>
      <c r="B26" s="263" t="str">
        <f>TEXT("16,487", "0,0")</f>
        <v>16,487</v>
      </c>
      <c r="C26" s="263" t="str">
        <f>TEXT("16,583", "0,0")</f>
        <v>16,583</v>
      </c>
      <c r="D26" s="263" t="str">
        <f>TEXT("16,546", "0,0")</f>
        <v>16,546</v>
      </c>
      <c r="E26" s="8"/>
      <c r="F26" s="263" t="str">
        <f>TEXT("14,142", "0,0")</f>
        <v>14,142</v>
      </c>
      <c r="G26" s="263" t="str">
        <f>TEXT("14,369", "0,0")</f>
        <v>14,369</v>
      </c>
      <c r="H26" s="263" t="s">
        <v>188</v>
      </c>
      <c r="I26" s="8"/>
      <c r="J26" s="263" t="str">
        <f>TEXT("13,622", "0,0")</f>
        <v>13,622</v>
      </c>
      <c r="K26" s="263" t="str">
        <f>TEXT("13,783", "0,0")</f>
        <v>13,783</v>
      </c>
      <c r="L26" s="263" t="str">
        <f>TEXT("14,369", "0,0")</f>
        <v>14,369</v>
      </c>
      <c r="M26" s="263" t="s">
        <v>188</v>
      </c>
      <c r="N26" s="8"/>
    </row>
    <row r="27" spans="1:44" s="284" customFormat="1" x14ac:dyDescent="0.3">
      <c r="A27" s="163" t="s">
        <v>17</v>
      </c>
      <c r="B27" s="263" t="str">
        <f>TEXT("21,378", "0,0")</f>
        <v>21,378</v>
      </c>
      <c r="C27" s="263" t="str">
        <f>TEXT("21,557", "0,0")</f>
        <v>21,557</v>
      </c>
      <c r="D27" s="263" t="str">
        <f>TEXT("22,246", "0,0")</f>
        <v>22,246</v>
      </c>
      <c r="E27" s="8"/>
      <c r="F27" s="263" t="str">
        <f>TEXT("15,782", "0,0")</f>
        <v>15,782</v>
      </c>
      <c r="G27" s="263" t="str">
        <f>TEXT("16,362", "0,0")</f>
        <v>16,362</v>
      </c>
      <c r="H27" s="263" t="s">
        <v>188</v>
      </c>
      <c r="I27" s="8"/>
      <c r="J27" s="263" t="str">
        <f>TEXT("15,254", "0,0")</f>
        <v>15,254</v>
      </c>
      <c r="K27" s="263" t="str">
        <f>TEXT("15,520", "0,0")</f>
        <v>15,520</v>
      </c>
      <c r="L27" s="263" t="str">
        <f>TEXT("16,362", "0,0")</f>
        <v>16,362</v>
      </c>
      <c r="M27" s="263" t="s">
        <v>188</v>
      </c>
      <c r="N27" s="8"/>
    </row>
    <row r="28" spans="1:44" s="284" customFormat="1" x14ac:dyDescent="0.3">
      <c r="A28" s="163" t="s">
        <v>18</v>
      </c>
      <c r="B28" s="263" t="str">
        <f>TEXT("21,231", "0,0")</f>
        <v>21,231</v>
      </c>
      <c r="C28" s="263" t="str">
        <f>TEXT("21,463", "0,0")</f>
        <v>21,463</v>
      </c>
      <c r="D28" s="263" t="str">
        <f>TEXT("21,697", "0,0")</f>
        <v>21,697</v>
      </c>
      <c r="E28" s="8"/>
      <c r="F28" s="263" t="str">
        <f>TEXT("16,157", "0,0")</f>
        <v>16,157</v>
      </c>
      <c r="G28" s="263" t="str">
        <f>TEXT("17,085", "0,0")</f>
        <v>17,085</v>
      </c>
      <c r="H28" s="263" t="s">
        <v>188</v>
      </c>
      <c r="I28" s="8"/>
      <c r="J28" s="263" t="str">
        <f>TEXT("15,424", "0,0")</f>
        <v>15,424</v>
      </c>
      <c r="K28" s="263" t="str">
        <f>TEXT("15,772", "0,0")</f>
        <v>15,772</v>
      </c>
      <c r="L28" s="263" t="str">
        <f>TEXT("17,085", "0,0")</f>
        <v>17,085</v>
      </c>
      <c r="M28" s="263" t="s">
        <v>188</v>
      </c>
      <c r="N28" s="8"/>
    </row>
    <row r="29" spans="1:44" s="284" customFormat="1" x14ac:dyDescent="0.3">
      <c r="A29" s="163" t="s">
        <v>19</v>
      </c>
      <c r="B29" s="263" t="str">
        <f>TEXT("36,594", "0,0")</f>
        <v>36,594</v>
      </c>
      <c r="C29" s="263" t="str">
        <f>TEXT("37,714", "0,0")</f>
        <v>37,714</v>
      </c>
      <c r="D29" s="263" t="str">
        <f>TEXT("38,620", "0,0")</f>
        <v>38,620</v>
      </c>
      <c r="E29" s="8"/>
      <c r="F29" s="263" t="str">
        <f>TEXT("15,341", "0,0")</f>
        <v>15,341</v>
      </c>
      <c r="G29" s="263" t="str">
        <f>TEXT("16,691", "0,0")</f>
        <v>16,691</v>
      </c>
      <c r="H29" s="263" t="s">
        <v>188</v>
      </c>
      <c r="I29" s="8"/>
      <c r="J29" s="263" t="str">
        <f>TEXT("14,467", "0,0")</f>
        <v>14,467</v>
      </c>
      <c r="K29" s="263" t="s">
        <v>188</v>
      </c>
      <c r="L29" s="263" t="str">
        <f>TEXT("16,691", "0,0")</f>
        <v>16,691</v>
      </c>
      <c r="M29" s="263" t="s">
        <v>188</v>
      </c>
      <c r="N29" s="8"/>
    </row>
    <row r="30" spans="1:44" s="284" customFormat="1" x14ac:dyDescent="0.3">
      <c r="A30" s="163" t="s">
        <v>22</v>
      </c>
      <c r="B30" s="263" t="str">
        <f>TEXT("34,772", "0,0")</f>
        <v>34,772</v>
      </c>
      <c r="C30" s="263" t="str">
        <f>TEXT("35,989", "0,0")</f>
        <v>35,989</v>
      </c>
      <c r="D30" s="263" t="str">
        <f>TEXT("36,641", "0,0")</f>
        <v>36,641</v>
      </c>
      <c r="E30" s="34"/>
      <c r="F30" s="263" t="str">
        <f>TEXT("25,644", "0,0")</f>
        <v>25,644</v>
      </c>
      <c r="G30" s="263" t="str">
        <f>TEXT("28,416", "0,0")</f>
        <v>28,416</v>
      </c>
      <c r="H30" s="263" t="s">
        <v>188</v>
      </c>
      <c r="I30" s="34"/>
      <c r="J30" s="263" t="str">
        <f>TEXT("14,106", "0,0")</f>
        <v>14,106</v>
      </c>
      <c r="K30" s="263" t="s">
        <v>188</v>
      </c>
      <c r="L30" s="263" t="str">
        <f>TEXT("16,263", "0,0")</f>
        <v>16,263</v>
      </c>
      <c r="M30" s="263" t="s">
        <v>188</v>
      </c>
      <c r="N30" s="34"/>
    </row>
    <row r="31" spans="1:44" s="284" customFormat="1" x14ac:dyDescent="0.3">
      <c r="A31" s="163" t="s">
        <v>23</v>
      </c>
      <c r="B31" s="263" t="s">
        <v>188</v>
      </c>
      <c r="C31" s="263" t="s">
        <v>188</v>
      </c>
      <c r="D31" s="263" t="s">
        <v>188</v>
      </c>
      <c r="E31" s="34"/>
      <c r="F31" s="263" t="s">
        <v>188</v>
      </c>
      <c r="G31" s="263" t="s">
        <v>188</v>
      </c>
      <c r="H31" s="263" t="s">
        <v>188</v>
      </c>
      <c r="I31" s="34"/>
      <c r="J31" s="263" t="s">
        <v>188</v>
      </c>
      <c r="K31" s="263" t="str">
        <f>TEXT("13,799", "0,0")</f>
        <v>13,799</v>
      </c>
      <c r="L31" s="263" t="str">
        <f>TEXT("15,485", "0,0")</f>
        <v>15,485</v>
      </c>
      <c r="M31" s="263" t="s">
        <v>188</v>
      </c>
      <c r="N31" s="34"/>
    </row>
    <row r="32" spans="1:44" s="297" customFormat="1" x14ac:dyDescent="0.3">
      <c r="A32" s="259"/>
      <c r="B32" s="488"/>
      <c r="C32" s="468"/>
      <c r="D32" s="469"/>
      <c r="E32" s="24"/>
      <c r="F32" s="488"/>
      <c r="G32" s="469"/>
      <c r="H32" s="301"/>
      <c r="I32" s="24"/>
      <c r="J32" s="488"/>
      <c r="K32" s="468"/>
      <c r="L32" s="468"/>
      <c r="M32" s="469"/>
      <c r="N32" s="2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row>
    <row r="33" spans="1:44" s="297" customFormat="1" ht="35.25" customHeight="1" x14ac:dyDescent="0.3">
      <c r="A33" s="264" t="s">
        <v>359</v>
      </c>
      <c r="B33" s="489" t="s">
        <v>12</v>
      </c>
      <c r="C33" s="490"/>
      <c r="D33" s="302" t="s">
        <v>10</v>
      </c>
      <c r="E33" s="24"/>
      <c r="F33" s="489" t="s">
        <v>12</v>
      </c>
      <c r="G33" s="490"/>
      <c r="H33" s="302" t="s">
        <v>10</v>
      </c>
      <c r="I33" s="24"/>
      <c r="J33" s="489" t="s">
        <v>12</v>
      </c>
      <c r="K33" s="491"/>
      <c r="L33" s="490"/>
      <c r="M33" s="302" t="s">
        <v>10</v>
      </c>
      <c r="N33" s="2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row>
    <row r="34" spans="1:44" s="284" customFormat="1" ht="25.95" customHeight="1" x14ac:dyDescent="0.3">
      <c r="A34" s="492"/>
      <c r="B34" s="495" t="s">
        <v>275</v>
      </c>
      <c r="C34" s="496" t="s">
        <v>275</v>
      </c>
      <c r="D34" s="303">
        <v>0.1085645071</v>
      </c>
      <c r="E34" s="24"/>
      <c r="F34" s="495" t="s">
        <v>431</v>
      </c>
      <c r="G34" s="496"/>
      <c r="H34" s="303">
        <v>0.98340000000000005</v>
      </c>
      <c r="I34" s="24"/>
      <c r="J34" s="417" t="s">
        <v>432</v>
      </c>
      <c r="K34" s="418"/>
      <c r="L34" s="216"/>
      <c r="M34" s="217">
        <v>1</v>
      </c>
      <c r="N34" s="24"/>
    </row>
    <row r="35" spans="1:44" s="284" customFormat="1" ht="25.95" customHeight="1" x14ac:dyDescent="0.3">
      <c r="A35" s="493"/>
      <c r="B35" s="495" t="s">
        <v>279</v>
      </c>
      <c r="C35" s="496" t="s">
        <v>279</v>
      </c>
      <c r="D35" s="303">
        <v>8.5794432599999998E-2</v>
      </c>
      <c r="E35" s="24"/>
      <c r="F35" s="497"/>
      <c r="G35" s="498"/>
      <c r="H35" s="303"/>
      <c r="I35" s="24"/>
      <c r="J35" s="420"/>
      <c r="K35" s="421"/>
      <c r="L35" s="216"/>
      <c r="M35" s="217"/>
      <c r="N35" s="24"/>
    </row>
    <row r="36" spans="1:44" s="284" customFormat="1" ht="25.95" customHeight="1" x14ac:dyDescent="0.3">
      <c r="A36" s="493"/>
      <c r="B36" s="495" t="s">
        <v>278</v>
      </c>
      <c r="C36" s="496" t="s">
        <v>278</v>
      </c>
      <c r="D36" s="303">
        <v>8.4904593E-2</v>
      </c>
      <c r="E36" s="24"/>
      <c r="F36" s="495"/>
      <c r="G36" s="496"/>
      <c r="H36" s="303"/>
      <c r="I36" s="24"/>
      <c r="J36" s="420"/>
      <c r="K36" s="421"/>
      <c r="L36" s="216"/>
      <c r="M36" s="217"/>
      <c r="N36" s="24"/>
    </row>
    <row r="37" spans="1:44" s="284" customFormat="1" ht="25.95" customHeight="1" x14ac:dyDescent="0.3">
      <c r="A37" s="493"/>
      <c r="B37" s="495" t="s">
        <v>276</v>
      </c>
      <c r="C37" s="496" t="s">
        <v>276</v>
      </c>
      <c r="D37" s="303">
        <v>7.2240165699999997E-2</v>
      </c>
      <c r="E37" s="24"/>
      <c r="F37" s="495"/>
      <c r="G37" s="496"/>
      <c r="H37" s="303"/>
      <c r="I37" s="24"/>
      <c r="J37" s="420"/>
      <c r="K37" s="421"/>
      <c r="L37" s="216"/>
      <c r="M37" s="217"/>
      <c r="N37" s="24"/>
    </row>
    <row r="38" spans="1:44" s="284" customFormat="1" ht="25.95" customHeight="1" x14ac:dyDescent="0.3">
      <c r="A38" s="493"/>
      <c r="B38" s="495" t="s">
        <v>265</v>
      </c>
      <c r="C38" s="496" t="s">
        <v>265</v>
      </c>
      <c r="D38" s="303">
        <v>6.0129238199999997E-2</v>
      </c>
      <c r="E38" s="24"/>
      <c r="F38" s="495"/>
      <c r="G38" s="496"/>
      <c r="H38" s="303"/>
      <c r="I38" s="24"/>
      <c r="J38" s="420"/>
      <c r="K38" s="421"/>
      <c r="L38" s="216"/>
      <c r="M38" s="217"/>
      <c r="N38" s="24"/>
    </row>
    <row r="39" spans="1:44" s="284" customFormat="1" ht="25.95" customHeight="1" x14ac:dyDescent="0.3">
      <c r="A39" s="493"/>
      <c r="B39" s="495" t="s">
        <v>433</v>
      </c>
      <c r="C39" s="496" t="s">
        <v>433</v>
      </c>
      <c r="D39" s="303">
        <v>5.1042752599999998E-2</v>
      </c>
      <c r="E39" s="24"/>
      <c r="F39" s="495"/>
      <c r="G39" s="496"/>
      <c r="H39" s="303"/>
      <c r="I39" s="24"/>
      <c r="J39" s="420"/>
      <c r="K39" s="421"/>
      <c r="L39" s="216"/>
      <c r="M39" s="217"/>
      <c r="N39" s="24"/>
    </row>
    <row r="40" spans="1:44" s="284" customFormat="1" ht="25.95" customHeight="1" x14ac:dyDescent="0.3">
      <c r="A40" s="493"/>
      <c r="B40" s="495" t="s">
        <v>399</v>
      </c>
      <c r="C40" s="496" t="s">
        <v>399</v>
      </c>
      <c r="D40" s="303">
        <v>3.5958594300000001E-2</v>
      </c>
      <c r="E40" s="24"/>
      <c r="F40" s="495"/>
      <c r="G40" s="496"/>
      <c r="H40" s="303"/>
      <c r="I40" s="24"/>
      <c r="J40" s="420"/>
      <c r="K40" s="421"/>
      <c r="L40" s="216"/>
      <c r="M40" s="217"/>
      <c r="N40" s="24"/>
    </row>
    <row r="41" spans="1:44" s="284" customFormat="1" ht="25.95" customHeight="1" x14ac:dyDescent="0.3">
      <c r="A41" s="493"/>
      <c r="B41" s="495" t="s">
        <v>292</v>
      </c>
      <c r="C41" s="496" t="s">
        <v>292</v>
      </c>
      <c r="D41" s="303">
        <v>3.0426002399999999E-2</v>
      </c>
      <c r="E41" s="24"/>
      <c r="F41" s="495"/>
      <c r="G41" s="496"/>
      <c r="H41" s="303"/>
      <c r="I41" s="24"/>
      <c r="J41" s="420"/>
      <c r="K41" s="421"/>
      <c r="L41" s="216"/>
      <c r="M41" s="217"/>
      <c r="N41" s="24"/>
    </row>
    <row r="42" spans="1:44" s="284" customFormat="1" ht="25.95" customHeight="1" x14ac:dyDescent="0.3">
      <c r="A42" s="493"/>
      <c r="B42" s="495" t="s">
        <v>60</v>
      </c>
      <c r="C42" s="496" t="s">
        <v>60</v>
      </c>
      <c r="D42" s="303">
        <v>2.7248171000000002E-2</v>
      </c>
      <c r="E42" s="24"/>
      <c r="F42" s="495"/>
      <c r="G42" s="496"/>
      <c r="H42" s="303"/>
      <c r="I42" s="24"/>
      <c r="J42" s="420"/>
      <c r="K42" s="421"/>
      <c r="L42" s="216"/>
      <c r="M42" s="217"/>
      <c r="N42" s="24"/>
    </row>
    <row r="43" spans="1:44" s="284" customFormat="1" ht="25.95" customHeight="1" x14ac:dyDescent="0.3">
      <c r="A43" s="494"/>
      <c r="B43" s="495" t="s">
        <v>434</v>
      </c>
      <c r="C43" s="496" t="s">
        <v>434</v>
      </c>
      <c r="D43" s="303">
        <v>2.6777276900000001E-2</v>
      </c>
      <c r="E43" s="24"/>
      <c r="F43" s="495"/>
      <c r="G43" s="496"/>
      <c r="H43" s="303"/>
      <c r="I43" s="24"/>
      <c r="J43" s="420"/>
      <c r="K43" s="421"/>
      <c r="L43" s="216"/>
      <c r="M43" s="217"/>
      <c r="N43" s="24"/>
    </row>
    <row r="44" spans="1:44" s="284" customFormat="1" x14ac:dyDescent="0.3">
      <c r="A44" s="163"/>
      <c r="B44" s="499" t="s">
        <v>5</v>
      </c>
      <c r="C44" s="500"/>
      <c r="D44" s="304">
        <f>SUM(D34:D43)</f>
        <v>0.58308573380000006</v>
      </c>
      <c r="E44" s="24"/>
      <c r="F44" s="499" t="s">
        <v>5</v>
      </c>
      <c r="G44" s="500"/>
      <c r="H44" s="305">
        <f>SUM(H34:H43)</f>
        <v>0.98340000000000005</v>
      </c>
      <c r="I44" s="24"/>
      <c r="J44" s="423" t="s">
        <v>5</v>
      </c>
      <c r="K44" s="423"/>
      <c r="L44" s="423"/>
      <c r="M44" s="265">
        <f>SUM(M34:M43)</f>
        <v>1</v>
      </c>
      <c r="N44" s="24"/>
    </row>
    <row r="45" spans="1:44" s="297" customFormat="1" x14ac:dyDescent="0.3">
      <c r="A45" s="163"/>
      <c r="B45" s="488"/>
      <c r="C45" s="468"/>
      <c r="D45" s="469"/>
      <c r="E45" s="24"/>
      <c r="F45" s="488"/>
      <c r="G45" s="468"/>
      <c r="H45" s="469"/>
      <c r="I45" s="24"/>
      <c r="J45" s="477"/>
      <c r="K45" s="478"/>
      <c r="L45" s="478"/>
      <c r="M45" s="479"/>
      <c r="N45" s="2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row>
    <row r="46" spans="1:44" s="284" customFormat="1" x14ac:dyDescent="0.3">
      <c r="A46" s="267" t="s">
        <v>38</v>
      </c>
      <c r="B46" s="409">
        <v>61.76</v>
      </c>
      <c r="C46" s="409">
        <v>1.7681</v>
      </c>
      <c r="D46" s="409">
        <v>1.7681</v>
      </c>
      <c r="E46" s="24"/>
      <c r="F46" s="409">
        <v>77.19</v>
      </c>
      <c r="G46" s="409">
        <v>36.2879</v>
      </c>
      <c r="H46" s="409">
        <v>36.2879</v>
      </c>
      <c r="I46" s="24"/>
      <c r="J46" s="409">
        <v>47.89</v>
      </c>
      <c r="K46" s="409">
        <v>13.3841</v>
      </c>
      <c r="L46" s="409">
        <v>13.3841</v>
      </c>
      <c r="M46" s="409">
        <v>13.3841</v>
      </c>
      <c r="N46" s="24"/>
    </row>
    <row r="47" spans="1:44" s="284" customFormat="1" x14ac:dyDescent="0.3">
      <c r="A47" s="163"/>
      <c r="B47" s="477"/>
      <c r="C47" s="478"/>
      <c r="D47" s="479"/>
      <c r="E47" s="24"/>
      <c r="F47" s="477"/>
      <c r="G47" s="478"/>
      <c r="H47" s="479"/>
      <c r="I47" s="24"/>
      <c r="J47" s="477"/>
      <c r="K47" s="478"/>
      <c r="L47" s="478"/>
      <c r="M47" s="479"/>
      <c r="N47" s="24"/>
    </row>
    <row r="48" spans="1:44" s="284" customFormat="1" x14ac:dyDescent="0.3">
      <c r="A48" s="267" t="s">
        <v>39</v>
      </c>
      <c r="B48" s="477"/>
      <c r="C48" s="478"/>
      <c r="D48" s="479"/>
      <c r="E48" s="24"/>
      <c r="F48" s="477"/>
      <c r="G48" s="478"/>
      <c r="H48" s="479"/>
      <c r="I48" s="24"/>
      <c r="J48" s="477"/>
      <c r="K48" s="478"/>
      <c r="L48" s="478"/>
      <c r="M48" s="479"/>
      <c r="N48" s="24"/>
    </row>
    <row r="49" spans="1:44" s="284" customFormat="1" x14ac:dyDescent="0.3">
      <c r="A49" s="163" t="s">
        <v>24</v>
      </c>
      <c r="B49" s="502">
        <v>1E-3</v>
      </c>
      <c r="C49" s="502"/>
      <c r="D49" s="502"/>
      <c r="E49" s="24"/>
      <c r="F49" s="502">
        <v>5.4999999999999997E-3</v>
      </c>
      <c r="G49" s="502"/>
      <c r="H49" s="502"/>
      <c r="I49" s="24"/>
      <c r="J49" s="502">
        <v>4.4999999999999997E-3</v>
      </c>
      <c r="K49" s="502">
        <v>4.4999999999999997E-3</v>
      </c>
      <c r="L49" s="502">
        <v>4.4999999999999997E-3</v>
      </c>
      <c r="M49" s="502">
        <v>4.4999999999999997E-3</v>
      </c>
      <c r="N49" s="24"/>
    </row>
    <row r="50" spans="1:44" s="284" customFormat="1" x14ac:dyDescent="0.3">
      <c r="A50" s="163" t="s">
        <v>6</v>
      </c>
      <c r="B50" s="502" t="s">
        <v>47</v>
      </c>
      <c r="C50" s="502"/>
      <c r="D50" s="502"/>
      <c r="E50" s="24"/>
      <c r="F50" s="502" t="s">
        <v>47</v>
      </c>
      <c r="G50" s="502"/>
      <c r="H50" s="502"/>
      <c r="I50" s="24"/>
      <c r="J50" s="502">
        <v>1.6000000000000001E-3</v>
      </c>
      <c r="K50" s="502">
        <v>1.6000000000000001E-3</v>
      </c>
      <c r="L50" s="502">
        <v>1.6000000000000001E-3</v>
      </c>
      <c r="M50" s="502">
        <v>1.6000000000000001E-3</v>
      </c>
      <c r="N50" s="24"/>
    </row>
    <row r="51" spans="1:44" s="284" customFormat="1" ht="220.5" customHeight="1" x14ac:dyDescent="0.3">
      <c r="A51" s="306" t="s">
        <v>41</v>
      </c>
      <c r="E51" s="225"/>
      <c r="H51" s="307"/>
      <c r="I51" s="225"/>
      <c r="N51" s="225"/>
    </row>
    <row r="52" spans="1:44" s="284" customFormat="1" ht="15" customHeight="1" x14ac:dyDescent="0.3">
      <c r="A52" s="180" t="s">
        <v>42</v>
      </c>
      <c r="E52" s="274"/>
      <c r="H52" s="307"/>
      <c r="I52" s="274"/>
      <c r="N52" s="274"/>
    </row>
    <row r="53" spans="1:44" s="284" customFormat="1" ht="172.5" customHeight="1" x14ac:dyDescent="0.3">
      <c r="A53" s="183" t="s">
        <v>40</v>
      </c>
      <c r="B53" s="308"/>
      <c r="C53" s="308"/>
      <c r="D53" s="308"/>
      <c r="E53" s="309"/>
      <c r="F53" s="308"/>
      <c r="G53" s="308"/>
      <c r="H53" s="310"/>
      <c r="I53" s="309"/>
      <c r="J53" s="308"/>
      <c r="K53" s="308"/>
      <c r="L53" s="308"/>
      <c r="M53" s="308"/>
      <c r="N53" s="309"/>
    </row>
    <row r="54" spans="1:44" s="297" customFormat="1" ht="16.2" x14ac:dyDescent="0.3">
      <c r="A54" s="297" t="s">
        <v>412</v>
      </c>
      <c r="E54" s="284"/>
      <c r="H54" s="311"/>
      <c r="I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row>
    <row r="55" spans="1:44" x14ac:dyDescent="0.3">
      <c r="A55" s="296" t="s">
        <v>435</v>
      </c>
    </row>
    <row r="56" spans="1:44" ht="24.9" customHeight="1" x14ac:dyDescent="0.3">
      <c r="A56" s="427" t="s">
        <v>436</v>
      </c>
      <c r="B56" s="427"/>
      <c r="C56" s="427"/>
      <c r="D56" s="427"/>
      <c r="E56" s="427"/>
      <c r="F56" s="427"/>
      <c r="G56" s="427"/>
      <c r="H56" s="427"/>
      <c r="I56" s="427"/>
      <c r="J56" s="427"/>
      <c r="K56" s="427"/>
      <c r="L56" s="427"/>
      <c r="M56" s="427"/>
      <c r="N56" s="427"/>
      <c r="O56" s="427"/>
      <c r="P56" s="427"/>
      <c r="Q56" s="427"/>
    </row>
    <row r="57" spans="1:44" ht="48.9" customHeight="1" x14ac:dyDescent="0.3">
      <c r="A57" s="501" t="s">
        <v>437</v>
      </c>
      <c r="B57" s="501"/>
      <c r="C57" s="501"/>
      <c r="D57" s="501"/>
      <c r="E57" s="501"/>
      <c r="F57" s="501"/>
      <c r="G57" s="501"/>
      <c r="H57" s="501"/>
      <c r="I57" s="501"/>
      <c r="J57" s="501"/>
      <c r="K57" s="501"/>
      <c r="L57" s="501"/>
      <c r="M57" s="501"/>
    </row>
    <row r="58" spans="1:44" ht="16.2" x14ac:dyDescent="0.3">
      <c r="A58" s="284" t="s">
        <v>438</v>
      </c>
    </row>
    <row r="59" spans="1:44" ht="16.2" x14ac:dyDescent="0.3">
      <c r="A59" s="313" t="s">
        <v>439</v>
      </c>
    </row>
  </sheetData>
  <mergeCells count="100">
    <mergeCell ref="A56:Q56"/>
    <mergeCell ref="A57:M57"/>
    <mergeCell ref="B49:D49"/>
    <mergeCell ref="F49:H49"/>
    <mergeCell ref="J49:M49"/>
    <mergeCell ref="B50:D50"/>
    <mergeCell ref="F50:H50"/>
    <mergeCell ref="J50:M50"/>
    <mergeCell ref="B47:D47"/>
    <mergeCell ref="F47:H47"/>
    <mergeCell ref="J47:M47"/>
    <mergeCell ref="B48:D48"/>
    <mergeCell ref="F48:H48"/>
    <mergeCell ref="J48:M48"/>
    <mergeCell ref="B45:D45"/>
    <mergeCell ref="F45:H45"/>
    <mergeCell ref="J45:M45"/>
    <mergeCell ref="B46:D46"/>
    <mergeCell ref="F46:H46"/>
    <mergeCell ref="J46:M46"/>
    <mergeCell ref="B43:C43"/>
    <mergeCell ref="F43:G43"/>
    <mergeCell ref="J43:K43"/>
    <mergeCell ref="B44:C44"/>
    <mergeCell ref="F44:G44"/>
    <mergeCell ref="J44:L44"/>
    <mergeCell ref="B41:C41"/>
    <mergeCell ref="F41:G41"/>
    <mergeCell ref="J41:K41"/>
    <mergeCell ref="B42:C42"/>
    <mergeCell ref="F42:G42"/>
    <mergeCell ref="J42:K42"/>
    <mergeCell ref="B39:C39"/>
    <mergeCell ref="F39:G39"/>
    <mergeCell ref="J39:K39"/>
    <mergeCell ref="B40:C40"/>
    <mergeCell ref="F40:G40"/>
    <mergeCell ref="J40:K40"/>
    <mergeCell ref="A34:A43"/>
    <mergeCell ref="B34:C34"/>
    <mergeCell ref="F34:G34"/>
    <mergeCell ref="J34:K34"/>
    <mergeCell ref="B35:C35"/>
    <mergeCell ref="F35:G35"/>
    <mergeCell ref="J35:K35"/>
    <mergeCell ref="B36:C36"/>
    <mergeCell ref="F36:G36"/>
    <mergeCell ref="J36:K36"/>
    <mergeCell ref="B37:C37"/>
    <mergeCell ref="F37:G37"/>
    <mergeCell ref="J37:K37"/>
    <mergeCell ref="B38:C38"/>
    <mergeCell ref="F38:G38"/>
    <mergeCell ref="J38:K38"/>
    <mergeCell ref="B32:D32"/>
    <mergeCell ref="F32:G32"/>
    <mergeCell ref="J32:M32"/>
    <mergeCell ref="B33:C33"/>
    <mergeCell ref="F33:G33"/>
    <mergeCell ref="J33:L33"/>
    <mergeCell ref="A15:A16"/>
    <mergeCell ref="B15:D15"/>
    <mergeCell ref="F15:H15"/>
    <mergeCell ref="J15:M15"/>
    <mergeCell ref="B24:D24"/>
    <mergeCell ref="F24:H24"/>
    <mergeCell ref="J24:M24"/>
    <mergeCell ref="A12:A13"/>
    <mergeCell ref="B12:D13"/>
    <mergeCell ref="F12:H13"/>
    <mergeCell ref="J12:M13"/>
    <mergeCell ref="B14:D14"/>
    <mergeCell ref="F14:H14"/>
    <mergeCell ref="J14:M14"/>
    <mergeCell ref="B10:D10"/>
    <mergeCell ref="F10:H10"/>
    <mergeCell ref="J10:M10"/>
    <mergeCell ref="B11:D11"/>
    <mergeCell ref="F11:H11"/>
    <mergeCell ref="J11:M11"/>
    <mergeCell ref="B8:D8"/>
    <mergeCell ref="F8:H8"/>
    <mergeCell ref="J8:M8"/>
    <mergeCell ref="B9:D9"/>
    <mergeCell ref="F9:H9"/>
    <mergeCell ref="J9:M9"/>
    <mergeCell ref="B6:D6"/>
    <mergeCell ref="F6:H6"/>
    <mergeCell ref="J6:M6"/>
    <mergeCell ref="B7:D7"/>
    <mergeCell ref="F7:H7"/>
    <mergeCell ref="J7:M7"/>
    <mergeCell ref="B5:D5"/>
    <mergeCell ref="F5:H5"/>
    <mergeCell ref="J5:M5"/>
    <mergeCell ref="A2:BC2"/>
    <mergeCell ref="A3:A4"/>
    <mergeCell ref="B3:D4"/>
    <mergeCell ref="F3:H4"/>
    <mergeCell ref="J3:M4"/>
  </mergeCells>
  <hyperlinks>
    <hyperlink ref="A33" r:id="rId1" display="https://www.invescomutualfund.com/literature-and-form?tab=Complete" xr:uid="{73716312-0BAA-4B01-9C5B-944060CAFA78}"/>
  </hyperlinks>
  <pageMargins left="0.7" right="0.7" top="0.75" bottom="0.75" header="0.3" footer="0.3"/>
  <pageSetup paperSize="8" scale="45" fitToWidth="0" orientation="landscape" r:id="rId2"/>
  <drawing r:id="rId3"/>
  <legacyDrawing r:id="rId4"/>
  <oleObjects>
    <mc:AlternateContent xmlns:mc="http://schemas.openxmlformats.org/markup-compatibility/2006">
      <mc:Choice Requires="x14">
        <oleObject progId="Word.Document.12" shapeId="5121" r:id="rId5">
          <objectPr defaultSize="0" r:id="rId6">
            <anchor moveWithCells="1">
              <from>
                <xdr:col>1</xdr:col>
                <xdr:colOff>45720</xdr:colOff>
                <xdr:row>50</xdr:row>
                <xdr:rowOff>45720</xdr:rowOff>
              </from>
              <to>
                <xdr:col>3</xdr:col>
                <xdr:colOff>1455420</xdr:colOff>
                <xdr:row>50</xdr:row>
                <xdr:rowOff>762000</xdr:rowOff>
              </to>
            </anchor>
          </objectPr>
        </oleObject>
      </mc:Choice>
      <mc:Fallback>
        <oleObject progId="Word.Document.12" shapeId="5121" r:id="rId5"/>
      </mc:Fallback>
    </mc:AlternateContent>
    <mc:AlternateContent xmlns:mc="http://schemas.openxmlformats.org/markup-compatibility/2006">
      <mc:Choice Requires="x14">
        <oleObject progId="Word.Document.12" shapeId="5122" r:id="rId7">
          <objectPr defaultSize="0" r:id="rId8">
            <anchor moveWithCells="1">
              <from>
                <xdr:col>5</xdr:col>
                <xdr:colOff>38100</xdr:colOff>
                <xdr:row>50</xdr:row>
                <xdr:rowOff>45720</xdr:rowOff>
              </from>
              <to>
                <xdr:col>7</xdr:col>
                <xdr:colOff>1447800</xdr:colOff>
                <xdr:row>50</xdr:row>
                <xdr:rowOff>762000</xdr:rowOff>
              </to>
            </anchor>
          </objectPr>
        </oleObject>
      </mc:Choice>
      <mc:Fallback>
        <oleObject progId="Word.Document.12" shapeId="5122" r:id="rId7"/>
      </mc:Fallback>
    </mc:AlternateContent>
    <mc:AlternateContent xmlns:mc="http://schemas.openxmlformats.org/markup-compatibility/2006">
      <mc:Choice Requires="x14">
        <oleObject progId="Word.Document.12" shapeId="5123" r:id="rId9">
          <objectPr defaultSize="0" r:id="rId10">
            <anchor moveWithCells="1">
              <from>
                <xdr:col>9</xdr:col>
                <xdr:colOff>190500</xdr:colOff>
                <xdr:row>50</xdr:row>
                <xdr:rowOff>60960</xdr:rowOff>
              </from>
              <to>
                <xdr:col>12</xdr:col>
                <xdr:colOff>899160</xdr:colOff>
                <xdr:row>50</xdr:row>
                <xdr:rowOff>784860</xdr:rowOff>
              </to>
            </anchor>
          </objectPr>
        </oleObject>
      </mc:Choice>
      <mc:Fallback>
        <oleObject progId="Word.Document.12" shapeId="5123" r:id="rId9"/>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8E31-1C3F-4C76-AD30-D0912F7ACF97}">
  <dimension ref="A1:P52"/>
  <sheetViews>
    <sheetView showGridLines="0" zoomScale="85" zoomScaleNormal="85" workbookViewId="0">
      <pane xSplit="1" ySplit="4" topLeftCell="B5" activePane="bottomRight" state="frozen"/>
      <selection pane="topRight" activeCell="B1" sqref="B1"/>
      <selection pane="bottomLeft" activeCell="A5" sqref="A5"/>
      <selection pane="bottomRight" activeCell="A14" sqref="A14"/>
    </sheetView>
  </sheetViews>
  <sheetFormatPr defaultColWidth="9.109375" defaultRowHeight="14.4" x14ac:dyDescent="0.3"/>
  <cols>
    <col min="1" max="1" width="47.109375" style="186" customWidth="1"/>
    <col min="2" max="5" width="18.6640625" style="184" customWidth="1"/>
    <col min="6" max="6" width="0.5546875" style="184" customWidth="1"/>
    <col min="7" max="10" width="18.6640625" style="184" customWidth="1"/>
    <col min="11" max="11" width="0.5546875" style="184" customWidth="1"/>
    <col min="12" max="12" width="18.6640625" style="184" customWidth="1"/>
    <col min="13" max="13" width="17.5546875" style="184" customWidth="1"/>
    <col min="14" max="15" width="18.6640625" style="184" customWidth="1"/>
    <col min="16" max="16" width="0.5546875" style="184" customWidth="1"/>
    <col min="17" max="16384" width="9.109375" style="184"/>
  </cols>
  <sheetData>
    <row r="1" spans="1:16" s="145" customFormat="1" x14ac:dyDescent="0.3">
      <c r="A1" s="505" t="s">
        <v>11</v>
      </c>
      <c r="B1" s="505"/>
      <c r="C1" s="505"/>
      <c r="D1" s="505"/>
      <c r="E1" s="505"/>
      <c r="F1" s="505"/>
      <c r="G1" s="505"/>
      <c r="H1" s="505"/>
      <c r="I1" s="505"/>
      <c r="J1" s="505"/>
      <c r="K1" s="505"/>
      <c r="L1" s="505"/>
      <c r="M1" s="505"/>
      <c r="N1" s="505"/>
      <c r="O1" s="505"/>
      <c r="P1" s="144"/>
    </row>
    <row r="2" spans="1:16" s="145" customFormat="1" x14ac:dyDescent="0.3">
      <c r="A2" s="433" t="s">
        <v>44</v>
      </c>
      <c r="B2" s="433"/>
      <c r="C2" s="433"/>
      <c r="D2" s="433"/>
      <c r="E2" s="433"/>
      <c r="F2" s="433"/>
      <c r="G2" s="433"/>
      <c r="H2" s="433"/>
      <c r="I2" s="433"/>
      <c r="J2" s="433"/>
      <c r="K2" s="433"/>
      <c r="L2" s="433"/>
      <c r="M2" s="433"/>
      <c r="N2" s="433"/>
      <c r="O2" s="433"/>
      <c r="P2" s="144"/>
    </row>
    <row r="3" spans="1:16" s="146" customFormat="1" ht="14.4" customHeight="1" x14ac:dyDescent="0.3">
      <c r="A3" s="457" t="s">
        <v>13</v>
      </c>
      <c r="B3" s="539" t="s">
        <v>471</v>
      </c>
      <c r="C3" s="540"/>
      <c r="D3" s="540"/>
      <c r="E3" s="541"/>
      <c r="F3" s="16"/>
      <c r="G3" s="539" t="s">
        <v>472</v>
      </c>
      <c r="H3" s="540"/>
      <c r="I3" s="540"/>
      <c r="J3" s="541"/>
      <c r="K3" s="16"/>
      <c r="L3" s="539" t="s">
        <v>473</v>
      </c>
      <c r="M3" s="540"/>
      <c r="N3" s="540"/>
      <c r="O3" s="541"/>
      <c r="P3" s="24"/>
    </row>
    <row r="4" spans="1:16" s="146" customFormat="1" ht="14.4" customHeight="1" x14ac:dyDescent="0.3">
      <c r="A4" s="458"/>
      <c r="B4" s="542"/>
      <c r="C4" s="543"/>
      <c r="D4" s="543"/>
      <c r="E4" s="544"/>
      <c r="F4" s="16"/>
      <c r="G4" s="542"/>
      <c r="H4" s="543"/>
      <c r="I4" s="543"/>
      <c r="J4" s="544"/>
      <c r="K4" s="16"/>
      <c r="L4" s="542"/>
      <c r="M4" s="543"/>
      <c r="N4" s="543"/>
      <c r="O4" s="544"/>
      <c r="P4" s="24"/>
    </row>
    <row r="5" spans="1:16" s="146" customFormat="1" ht="45.75" customHeight="1" x14ac:dyDescent="0.3">
      <c r="A5" s="3" t="s">
        <v>1</v>
      </c>
      <c r="B5" s="407" t="s">
        <v>232</v>
      </c>
      <c r="C5" s="503"/>
      <c r="D5" s="503"/>
      <c r="E5" s="504"/>
      <c r="F5" s="147"/>
      <c r="G5" s="407" t="s">
        <v>232</v>
      </c>
      <c r="H5" s="503"/>
      <c r="I5" s="503"/>
      <c r="J5" s="504"/>
      <c r="K5" s="147"/>
      <c r="L5" s="407" t="s">
        <v>233</v>
      </c>
      <c r="M5" s="503"/>
      <c r="N5" s="503"/>
      <c r="O5" s="504"/>
      <c r="P5" s="148"/>
    </row>
    <row r="6" spans="1:16" s="146" customFormat="1" x14ac:dyDescent="0.3">
      <c r="A6" s="149" t="s">
        <v>15</v>
      </c>
      <c r="B6" s="424"/>
      <c r="C6" s="425"/>
      <c r="D6" s="425"/>
      <c r="E6" s="447"/>
      <c r="F6" s="150"/>
      <c r="G6" s="424"/>
      <c r="H6" s="425"/>
      <c r="I6" s="425"/>
      <c r="J6" s="447"/>
      <c r="K6" s="150"/>
      <c r="L6" s="424"/>
      <c r="M6" s="425"/>
      <c r="N6" s="425"/>
      <c r="O6" s="447"/>
      <c r="P6" s="148"/>
    </row>
    <row r="7" spans="1:16" s="151" customFormat="1" x14ac:dyDescent="0.3">
      <c r="A7" s="71" t="s">
        <v>9</v>
      </c>
      <c r="B7" s="506">
        <v>43264</v>
      </c>
      <c r="C7" s="507"/>
      <c r="D7" s="507"/>
      <c r="E7" s="508"/>
      <c r="F7" s="148"/>
      <c r="G7" s="506">
        <v>43370</v>
      </c>
      <c r="H7" s="507"/>
      <c r="I7" s="507"/>
      <c r="J7" s="508"/>
      <c r="K7" s="148"/>
      <c r="L7" s="506">
        <v>43446</v>
      </c>
      <c r="M7" s="507"/>
      <c r="N7" s="507"/>
      <c r="O7" s="508"/>
      <c r="P7" s="148"/>
    </row>
    <row r="8" spans="1:16" s="151" customFormat="1" x14ac:dyDescent="0.3">
      <c r="A8" s="71" t="s">
        <v>0</v>
      </c>
      <c r="B8" s="506">
        <v>43264</v>
      </c>
      <c r="C8" s="507"/>
      <c r="D8" s="507"/>
      <c r="E8" s="508"/>
      <c r="F8" s="148"/>
      <c r="G8" s="506">
        <v>43370</v>
      </c>
      <c r="H8" s="507"/>
      <c r="I8" s="507"/>
      <c r="J8" s="508"/>
      <c r="K8" s="148"/>
      <c r="L8" s="506">
        <v>43446</v>
      </c>
      <c r="M8" s="507"/>
      <c r="N8" s="507"/>
      <c r="O8" s="508"/>
      <c r="P8" s="152"/>
    </row>
    <row r="9" spans="1:16" s="151" customFormat="1" x14ac:dyDescent="0.3">
      <c r="A9" s="72" t="s">
        <v>14</v>
      </c>
      <c r="B9" s="506" t="s">
        <v>474</v>
      </c>
      <c r="C9" s="507"/>
      <c r="D9" s="507"/>
      <c r="E9" s="508"/>
      <c r="F9" s="153"/>
      <c r="G9" s="506" t="s">
        <v>475</v>
      </c>
      <c r="H9" s="507"/>
      <c r="I9" s="507"/>
      <c r="J9" s="508"/>
      <c r="K9" s="153"/>
      <c r="L9" s="506" t="s">
        <v>476</v>
      </c>
      <c r="M9" s="507"/>
      <c r="N9" s="507"/>
      <c r="O9" s="508"/>
      <c r="P9" s="152"/>
    </row>
    <row r="10" spans="1:16" s="146" customFormat="1" ht="60.75" customHeight="1" x14ac:dyDescent="0.3">
      <c r="A10" s="154" t="s">
        <v>192</v>
      </c>
      <c r="B10" s="450" t="s">
        <v>466</v>
      </c>
      <c r="C10" s="509"/>
      <c r="D10" s="509"/>
      <c r="E10" s="451"/>
      <c r="F10" s="155"/>
      <c r="G10" s="450" t="s">
        <v>467</v>
      </c>
      <c r="H10" s="509"/>
      <c r="I10" s="509"/>
      <c r="J10" s="451"/>
      <c r="K10" s="155"/>
      <c r="L10" s="450" t="s">
        <v>467</v>
      </c>
      <c r="M10" s="509"/>
      <c r="N10" s="509"/>
      <c r="O10" s="451"/>
      <c r="P10" s="37"/>
    </row>
    <row r="11" spans="1:16" s="146" customFormat="1" ht="15" customHeight="1" x14ac:dyDescent="0.3">
      <c r="A11" s="3" t="s">
        <v>2</v>
      </c>
      <c r="B11" s="424" t="s">
        <v>193</v>
      </c>
      <c r="C11" s="425"/>
      <c r="D11" s="425"/>
      <c r="E11" s="447"/>
      <c r="F11" s="150"/>
      <c r="G11" s="424" t="s">
        <v>193</v>
      </c>
      <c r="H11" s="425"/>
      <c r="I11" s="425"/>
      <c r="J11" s="447"/>
      <c r="K11" s="150"/>
      <c r="L11" s="424" t="s">
        <v>193</v>
      </c>
      <c r="M11" s="425"/>
      <c r="N11" s="425"/>
      <c r="O11" s="447"/>
      <c r="P11" s="37"/>
    </row>
    <row r="12" spans="1:16" s="146" customFormat="1" x14ac:dyDescent="0.3">
      <c r="A12" s="335" t="s">
        <v>3</v>
      </c>
      <c r="B12" s="441" t="s">
        <v>194</v>
      </c>
      <c r="C12" s="442"/>
      <c r="D12" s="441" t="s">
        <v>195</v>
      </c>
      <c r="E12" s="442"/>
      <c r="F12" s="8"/>
      <c r="G12" s="441" t="s">
        <v>194</v>
      </c>
      <c r="H12" s="442"/>
      <c r="I12" s="441" t="s">
        <v>195</v>
      </c>
      <c r="J12" s="442"/>
      <c r="K12" s="8"/>
      <c r="L12" s="441" t="s">
        <v>194</v>
      </c>
      <c r="M12" s="442"/>
      <c r="N12" s="441" t="s">
        <v>195</v>
      </c>
      <c r="O12" s="442"/>
      <c r="P12" s="37"/>
    </row>
    <row r="13" spans="1:16" s="146" customFormat="1" ht="15.9" customHeight="1" x14ac:dyDescent="0.3">
      <c r="A13" s="335"/>
      <c r="B13" s="443"/>
      <c r="C13" s="444"/>
      <c r="D13" s="443"/>
      <c r="E13" s="444"/>
      <c r="F13" s="8"/>
      <c r="G13" s="443"/>
      <c r="H13" s="444"/>
      <c r="I13" s="443"/>
      <c r="J13" s="444"/>
      <c r="K13" s="8"/>
      <c r="L13" s="443"/>
      <c r="M13" s="444"/>
      <c r="N13" s="443"/>
      <c r="O13" s="444"/>
      <c r="P13" s="24"/>
    </row>
    <row r="14" spans="1:16" s="146" customFormat="1" x14ac:dyDescent="0.3">
      <c r="A14" s="4" t="s">
        <v>196</v>
      </c>
      <c r="B14" s="402" t="s">
        <v>197</v>
      </c>
      <c r="C14" s="449"/>
      <c r="D14" s="402" t="s">
        <v>198</v>
      </c>
      <c r="E14" s="449"/>
      <c r="F14" s="8"/>
      <c r="G14" s="402" t="s">
        <v>197</v>
      </c>
      <c r="H14" s="449"/>
      <c r="I14" s="402" t="s">
        <v>198</v>
      </c>
      <c r="J14" s="449"/>
      <c r="K14" s="8"/>
      <c r="L14" s="402" t="s">
        <v>197</v>
      </c>
      <c r="M14" s="449"/>
      <c r="N14" s="402" t="s">
        <v>198</v>
      </c>
      <c r="O14" s="449"/>
      <c r="P14" s="155"/>
    </row>
    <row r="15" spans="1:16" s="146" customFormat="1" x14ac:dyDescent="0.3">
      <c r="A15" s="510" t="s">
        <v>199</v>
      </c>
      <c r="B15" s="410" t="s">
        <v>20</v>
      </c>
      <c r="C15" s="512"/>
      <c r="D15" s="512"/>
      <c r="E15" s="513"/>
      <c r="F15" s="156"/>
      <c r="G15" s="410" t="s">
        <v>20</v>
      </c>
      <c r="H15" s="512"/>
      <c r="I15" s="512"/>
      <c r="J15" s="513"/>
      <c r="K15" s="156"/>
      <c r="L15" s="410" t="s">
        <v>20</v>
      </c>
      <c r="M15" s="512"/>
      <c r="N15" s="512"/>
      <c r="O15" s="513"/>
      <c r="P15" s="157"/>
    </row>
    <row r="16" spans="1:16" s="146" customFormat="1" ht="30.6" x14ac:dyDescent="0.3">
      <c r="A16" s="511"/>
      <c r="B16" s="32" t="s">
        <v>9</v>
      </c>
      <c r="C16" s="158" t="s">
        <v>0</v>
      </c>
      <c r="D16" s="158" t="s">
        <v>193</v>
      </c>
      <c r="E16" s="158" t="s">
        <v>234</v>
      </c>
      <c r="F16" s="155"/>
      <c r="G16" s="32" t="s">
        <v>9</v>
      </c>
      <c r="H16" s="158" t="s">
        <v>0</v>
      </c>
      <c r="I16" s="158" t="s">
        <v>193</v>
      </c>
      <c r="J16" s="158" t="s">
        <v>234</v>
      </c>
      <c r="K16" s="155"/>
      <c r="L16" s="32" t="s">
        <v>9</v>
      </c>
      <c r="M16" s="158" t="s">
        <v>0</v>
      </c>
      <c r="N16" s="158" t="s">
        <v>193</v>
      </c>
      <c r="O16" s="158" t="s">
        <v>234</v>
      </c>
      <c r="P16" s="159"/>
    </row>
    <row r="17" spans="1:16" s="146" customFormat="1" x14ac:dyDescent="0.3">
      <c r="A17" s="12" t="s">
        <v>4</v>
      </c>
      <c r="B17" s="190">
        <v>4.7300000000000002E-2</v>
      </c>
      <c r="C17" s="190">
        <v>4.7300000000000002E-2</v>
      </c>
      <c r="D17" s="190">
        <v>3.0700000000000002E-2</v>
      </c>
      <c r="E17" s="190">
        <v>1.1000000000000001E-3</v>
      </c>
      <c r="F17" s="74"/>
      <c r="G17" s="190">
        <v>4.5900000000000003E-2</v>
      </c>
      <c r="H17" s="190">
        <v>4.5900000000000003E-2</v>
      </c>
      <c r="I17" s="190">
        <v>3.0700000000000002E-2</v>
      </c>
      <c r="J17" s="190">
        <v>1.1000000000000001E-3</v>
      </c>
      <c r="K17" s="74"/>
      <c r="L17" s="190">
        <v>4.2999999999999997E-2</v>
      </c>
      <c r="M17" s="190">
        <v>4.58E-2</v>
      </c>
      <c r="N17" s="190">
        <v>3.0700000000000002E-2</v>
      </c>
      <c r="O17" s="190">
        <v>1.1000000000000001E-3</v>
      </c>
      <c r="P17" s="160"/>
    </row>
    <row r="18" spans="1:16" s="162" customFormat="1" x14ac:dyDescent="0.3">
      <c r="A18" s="12" t="s">
        <v>16</v>
      </c>
      <c r="B18" s="190">
        <v>8.3900000000000002E-2</v>
      </c>
      <c r="C18" s="190">
        <v>8.5800000000000001E-2</v>
      </c>
      <c r="D18" s="190">
        <v>8.5000000000000006E-2</v>
      </c>
      <c r="E18" s="190">
        <v>6.59E-2</v>
      </c>
      <c r="F18" s="74"/>
      <c r="G18" s="190">
        <v>8.1500000000000003E-2</v>
      </c>
      <c r="H18" s="190">
        <v>8.3299999999999999E-2</v>
      </c>
      <c r="I18" s="190">
        <v>8.5000000000000006E-2</v>
      </c>
      <c r="J18" s="190">
        <v>6.59E-2</v>
      </c>
      <c r="K18" s="74"/>
      <c r="L18" s="190">
        <v>8.1299999999999997E-2</v>
      </c>
      <c r="M18" s="190">
        <v>8.4099999999999994E-2</v>
      </c>
      <c r="N18" s="190">
        <v>8.5000000000000006E-2</v>
      </c>
      <c r="O18" s="190">
        <v>6.59E-2</v>
      </c>
      <c r="P18" s="161"/>
    </row>
    <row r="19" spans="1:16" s="162" customFormat="1" x14ac:dyDescent="0.3">
      <c r="A19" s="163" t="s">
        <v>22</v>
      </c>
      <c r="B19" s="191">
        <v>8.5599999999999996E-2</v>
      </c>
      <c r="C19" s="164" t="s">
        <v>188</v>
      </c>
      <c r="D19" s="191">
        <v>8.8200000000000001E-2</v>
      </c>
      <c r="E19" s="191">
        <v>7.6499999999999999E-2</v>
      </c>
      <c r="F19" s="74"/>
      <c r="G19" s="191">
        <v>8.5900000000000004E-2</v>
      </c>
      <c r="H19" s="164" t="s">
        <v>188</v>
      </c>
      <c r="I19" s="191">
        <v>9.1999999999999998E-2</v>
      </c>
      <c r="J19" s="191">
        <v>7.8200000000000006E-2</v>
      </c>
      <c r="K19" s="74"/>
      <c r="L19" s="191">
        <v>8.3199999999999996E-2</v>
      </c>
      <c r="M19" s="164" t="s">
        <v>188</v>
      </c>
      <c r="N19" s="191">
        <v>8.4500000000000006E-2</v>
      </c>
      <c r="O19" s="191">
        <v>6.4600000000000005E-2</v>
      </c>
      <c r="P19" s="161"/>
    </row>
    <row r="20" spans="1:16" s="146" customFormat="1" x14ac:dyDescent="0.3">
      <c r="A20" s="163" t="s">
        <v>23</v>
      </c>
      <c r="B20" s="164" t="s">
        <v>188</v>
      </c>
      <c r="C20" s="191">
        <v>8.7599999999999997E-2</v>
      </c>
      <c r="D20" s="191">
        <v>8.8200000000000001E-2</v>
      </c>
      <c r="E20" s="191">
        <v>7.6499999999999999E-2</v>
      </c>
      <c r="F20" s="74"/>
      <c r="G20" s="164" t="s">
        <v>188</v>
      </c>
      <c r="H20" s="191">
        <v>8.7800000000000003E-2</v>
      </c>
      <c r="I20" s="191">
        <v>9.1999999999999998E-2</v>
      </c>
      <c r="J20" s="191">
        <v>7.8200000000000006E-2</v>
      </c>
      <c r="K20" s="74"/>
      <c r="L20" s="164" t="s">
        <v>188</v>
      </c>
      <c r="M20" s="191">
        <v>8.5999999999999993E-2</v>
      </c>
      <c r="N20" s="191">
        <v>8.4500000000000006E-2</v>
      </c>
      <c r="O20" s="191">
        <v>6.4600000000000005E-2</v>
      </c>
      <c r="P20" s="159"/>
    </row>
    <row r="21" spans="1:16" s="146" customFormat="1" x14ac:dyDescent="0.3">
      <c r="A21" s="12"/>
      <c r="B21" s="413" t="s">
        <v>21</v>
      </c>
      <c r="C21" s="414"/>
      <c r="D21" s="414"/>
      <c r="E21" s="415"/>
      <c r="F21" s="161"/>
      <c r="G21" s="413" t="s">
        <v>21</v>
      </c>
      <c r="H21" s="414"/>
      <c r="I21" s="414"/>
      <c r="J21" s="415"/>
      <c r="K21" s="161"/>
      <c r="L21" s="413" t="s">
        <v>21</v>
      </c>
      <c r="M21" s="414"/>
      <c r="N21" s="414"/>
      <c r="O21" s="415"/>
      <c r="P21" s="159"/>
    </row>
    <row r="22" spans="1:16" s="146" customFormat="1" x14ac:dyDescent="0.3">
      <c r="A22" s="12" t="s">
        <v>4</v>
      </c>
      <c r="B22" s="165">
        <v>10475</v>
      </c>
      <c r="C22" s="165">
        <v>10476</v>
      </c>
      <c r="D22" s="165">
        <v>10309</v>
      </c>
      <c r="E22" s="165">
        <v>10011</v>
      </c>
      <c r="F22" s="73"/>
      <c r="G22" s="165">
        <v>10462</v>
      </c>
      <c r="H22" s="165">
        <v>10462</v>
      </c>
      <c r="I22" s="165">
        <v>10309</v>
      </c>
      <c r="J22" s="165">
        <v>10011</v>
      </c>
      <c r="K22" s="73"/>
      <c r="L22" s="165">
        <v>10432</v>
      </c>
      <c r="M22" s="165">
        <v>10461</v>
      </c>
      <c r="N22" s="165">
        <v>10309</v>
      </c>
      <c r="O22" s="165">
        <v>10011</v>
      </c>
      <c r="P22" s="159"/>
    </row>
    <row r="23" spans="1:16" s="146" customFormat="1" x14ac:dyDescent="0.3">
      <c r="A23" s="12" t="s">
        <v>16</v>
      </c>
      <c r="B23" s="165">
        <v>12739</v>
      </c>
      <c r="C23" s="165">
        <v>12802</v>
      </c>
      <c r="D23" s="165">
        <v>12774</v>
      </c>
      <c r="E23" s="165">
        <v>12111</v>
      </c>
      <c r="F23" s="73"/>
      <c r="G23" s="165">
        <v>12654</v>
      </c>
      <c r="H23" s="165">
        <v>12717</v>
      </c>
      <c r="I23" s="165">
        <v>12774</v>
      </c>
      <c r="J23" s="165">
        <v>12111</v>
      </c>
      <c r="K23" s="73"/>
      <c r="L23" s="165">
        <v>12646</v>
      </c>
      <c r="M23" s="165">
        <v>12744</v>
      </c>
      <c r="N23" s="165">
        <v>12774</v>
      </c>
      <c r="O23" s="165">
        <v>12111</v>
      </c>
      <c r="P23" s="24"/>
    </row>
    <row r="24" spans="1:16" s="146" customFormat="1" x14ac:dyDescent="0.3">
      <c r="A24" s="163" t="s">
        <v>22</v>
      </c>
      <c r="B24" s="166">
        <v>13484</v>
      </c>
      <c r="C24" s="164" t="s">
        <v>188</v>
      </c>
      <c r="D24" s="166">
        <v>13600</v>
      </c>
      <c r="E24" s="166">
        <v>13074</v>
      </c>
      <c r="F24" s="73"/>
      <c r="G24" s="166">
        <v>13175</v>
      </c>
      <c r="H24" s="166" t="s">
        <v>188</v>
      </c>
      <c r="I24" s="166">
        <v>13426</v>
      </c>
      <c r="J24" s="166">
        <v>12866</v>
      </c>
      <c r="K24" s="73"/>
      <c r="L24" s="166">
        <v>12853</v>
      </c>
      <c r="M24" s="164" t="s">
        <v>188</v>
      </c>
      <c r="N24" s="166">
        <v>12901</v>
      </c>
      <c r="O24" s="166">
        <v>12174</v>
      </c>
      <c r="P24" s="24"/>
    </row>
    <row r="25" spans="1:16" s="146" customFormat="1" x14ac:dyDescent="0.3">
      <c r="A25" s="163" t="s">
        <v>23</v>
      </c>
      <c r="B25" s="164" t="s">
        <v>188</v>
      </c>
      <c r="C25" s="166">
        <v>13573</v>
      </c>
      <c r="D25" s="166">
        <v>13600</v>
      </c>
      <c r="E25" s="166">
        <v>13074</v>
      </c>
      <c r="F25" s="73"/>
      <c r="G25" s="166" t="s">
        <v>188</v>
      </c>
      <c r="H25" s="166">
        <v>13253</v>
      </c>
      <c r="I25" s="166">
        <v>13426</v>
      </c>
      <c r="J25" s="166">
        <v>12866</v>
      </c>
      <c r="K25" s="73"/>
      <c r="L25" s="164" t="s">
        <v>188</v>
      </c>
      <c r="M25" s="166">
        <v>12957</v>
      </c>
      <c r="N25" s="166">
        <v>12901</v>
      </c>
      <c r="O25" s="166">
        <v>12174</v>
      </c>
      <c r="P25" s="30"/>
    </row>
    <row r="26" spans="1:16" s="146" customFormat="1" x14ac:dyDescent="0.3">
      <c r="A26" s="4"/>
      <c r="B26" s="102"/>
      <c r="C26" s="102"/>
      <c r="D26" s="102"/>
      <c r="E26" s="102"/>
      <c r="F26" s="24"/>
      <c r="G26" s="102"/>
      <c r="H26" s="102"/>
      <c r="I26" s="102"/>
      <c r="J26" s="102"/>
      <c r="K26" s="24"/>
      <c r="L26" s="102"/>
      <c r="M26" s="102"/>
      <c r="N26" s="102"/>
      <c r="O26" s="102"/>
      <c r="P26" s="8"/>
    </row>
    <row r="27" spans="1:16" s="146" customFormat="1" ht="38.25" customHeight="1" x14ac:dyDescent="0.3">
      <c r="A27" s="167" t="s">
        <v>200</v>
      </c>
      <c r="B27" s="514" t="s">
        <v>12</v>
      </c>
      <c r="C27" s="515"/>
      <c r="D27" s="168" t="s">
        <v>201</v>
      </c>
      <c r="E27" s="168" t="s">
        <v>10</v>
      </c>
      <c r="F27" s="30"/>
      <c r="G27" s="412" t="s">
        <v>12</v>
      </c>
      <c r="H27" s="412"/>
      <c r="I27" s="168" t="s">
        <v>201</v>
      </c>
      <c r="J27" s="168" t="s">
        <v>10</v>
      </c>
      <c r="K27" s="30"/>
      <c r="L27" s="412" t="s">
        <v>12</v>
      </c>
      <c r="M27" s="412"/>
      <c r="N27" s="168" t="s">
        <v>201</v>
      </c>
      <c r="O27" s="168" t="s">
        <v>10</v>
      </c>
      <c r="P27" s="8"/>
    </row>
    <row r="28" spans="1:16" s="146" customFormat="1" ht="38.25" customHeight="1" x14ac:dyDescent="0.3">
      <c r="A28" s="445"/>
      <c r="B28" s="450" t="s">
        <v>202</v>
      </c>
      <c r="C28" s="451"/>
      <c r="D28" s="169" t="s">
        <v>203</v>
      </c>
      <c r="E28" s="187">
        <v>0.1026</v>
      </c>
      <c r="F28" s="147"/>
      <c r="G28" s="450" t="s">
        <v>204</v>
      </c>
      <c r="H28" s="451"/>
      <c r="I28" s="169" t="s">
        <v>205</v>
      </c>
      <c r="J28" s="189">
        <v>9.8799999999999999E-2</v>
      </c>
      <c r="K28" s="147"/>
      <c r="L28" s="450" t="s">
        <v>206</v>
      </c>
      <c r="M28" s="451"/>
      <c r="N28" s="169" t="s">
        <v>205</v>
      </c>
      <c r="O28" s="189">
        <v>0.11310000000000001</v>
      </c>
      <c r="P28" s="8"/>
    </row>
    <row r="29" spans="1:16" s="146" customFormat="1" ht="38.25" customHeight="1" x14ac:dyDescent="0.3">
      <c r="A29" s="516"/>
      <c r="B29" s="450" t="s">
        <v>207</v>
      </c>
      <c r="C29" s="451"/>
      <c r="D29" s="169" t="s">
        <v>205</v>
      </c>
      <c r="E29" s="187">
        <v>9.7199999999999995E-2</v>
      </c>
      <c r="F29" s="147"/>
      <c r="G29" s="450" t="s">
        <v>208</v>
      </c>
      <c r="H29" s="451"/>
      <c r="I29" s="169" t="s">
        <v>209</v>
      </c>
      <c r="J29" s="189">
        <v>9.0700000000000003E-2</v>
      </c>
      <c r="K29" s="147"/>
      <c r="L29" s="450" t="s">
        <v>210</v>
      </c>
      <c r="M29" s="451"/>
      <c r="N29" s="169" t="s">
        <v>205</v>
      </c>
      <c r="O29" s="189">
        <v>0.1045</v>
      </c>
      <c r="P29" s="8"/>
    </row>
    <row r="30" spans="1:16" s="146" customFormat="1" ht="38.25" customHeight="1" x14ac:dyDescent="0.3">
      <c r="A30" s="516"/>
      <c r="B30" s="450" t="s">
        <v>210</v>
      </c>
      <c r="C30" s="451"/>
      <c r="D30" s="169" t="s">
        <v>205</v>
      </c>
      <c r="E30" s="187">
        <v>9.6000000000000002E-2</v>
      </c>
      <c r="F30" s="147"/>
      <c r="G30" s="450" t="s">
        <v>211</v>
      </c>
      <c r="H30" s="451"/>
      <c r="I30" s="169" t="s">
        <v>203</v>
      </c>
      <c r="J30" s="189">
        <v>8.6999999999999994E-2</v>
      </c>
      <c r="K30" s="147"/>
      <c r="L30" s="450" t="s">
        <v>208</v>
      </c>
      <c r="M30" s="451"/>
      <c r="N30" s="169" t="s">
        <v>209</v>
      </c>
      <c r="O30" s="189">
        <v>9.3200000000000005E-2</v>
      </c>
      <c r="P30" s="8"/>
    </row>
    <row r="31" spans="1:16" s="146" customFormat="1" ht="38.25" customHeight="1" x14ac:dyDescent="0.3">
      <c r="A31" s="516"/>
      <c r="B31" s="450" t="s">
        <v>212</v>
      </c>
      <c r="C31" s="451"/>
      <c r="D31" s="169" t="s">
        <v>203</v>
      </c>
      <c r="E31" s="187">
        <v>9.4299999999999995E-2</v>
      </c>
      <c r="F31" s="147"/>
      <c r="G31" s="450" t="s">
        <v>213</v>
      </c>
      <c r="H31" s="451"/>
      <c r="I31" s="169" t="s">
        <v>203</v>
      </c>
      <c r="J31" s="189">
        <v>8.3799999999999999E-2</v>
      </c>
      <c r="K31" s="147"/>
      <c r="L31" s="450" t="s">
        <v>214</v>
      </c>
      <c r="M31" s="451"/>
      <c r="N31" s="169" t="s">
        <v>203</v>
      </c>
      <c r="O31" s="189">
        <v>9.2100000000000001E-2</v>
      </c>
      <c r="P31" s="8"/>
    </row>
    <row r="32" spans="1:16" s="146" customFormat="1" ht="38.25" customHeight="1" x14ac:dyDescent="0.3">
      <c r="A32" s="516"/>
      <c r="B32" s="450" t="s">
        <v>215</v>
      </c>
      <c r="C32" s="451"/>
      <c r="D32" s="169" t="s">
        <v>209</v>
      </c>
      <c r="E32" s="187">
        <v>8.4199999999999997E-2</v>
      </c>
      <c r="F32" s="147"/>
      <c r="G32" s="450" t="s">
        <v>216</v>
      </c>
      <c r="H32" s="451"/>
      <c r="I32" s="169" t="s">
        <v>209</v>
      </c>
      <c r="J32" s="189">
        <v>8.3500000000000005E-2</v>
      </c>
      <c r="K32" s="147"/>
      <c r="L32" s="450" t="s">
        <v>202</v>
      </c>
      <c r="M32" s="451"/>
      <c r="N32" s="169" t="s">
        <v>203</v>
      </c>
      <c r="O32" s="189">
        <v>8.1000000000000003E-2</v>
      </c>
      <c r="P32" s="8"/>
    </row>
    <row r="33" spans="1:16" s="146" customFormat="1" ht="25.5" customHeight="1" x14ac:dyDescent="0.3">
      <c r="A33" s="516"/>
      <c r="B33" s="450" t="s">
        <v>217</v>
      </c>
      <c r="C33" s="451"/>
      <c r="D33" s="169" t="s">
        <v>218</v>
      </c>
      <c r="E33" s="187">
        <v>6.2199999999999998E-2</v>
      </c>
      <c r="F33" s="147"/>
      <c r="G33" s="450" t="s">
        <v>219</v>
      </c>
      <c r="H33" s="451"/>
      <c r="I33" s="169" t="s">
        <v>203</v>
      </c>
      <c r="J33" s="189">
        <v>8.3299999999999999E-2</v>
      </c>
      <c r="K33" s="147"/>
      <c r="L33" s="450" t="s">
        <v>220</v>
      </c>
      <c r="M33" s="451"/>
      <c r="N33" s="169" t="s">
        <v>203</v>
      </c>
      <c r="O33" s="189">
        <v>7.7799999999999994E-2</v>
      </c>
      <c r="P33" s="8"/>
    </row>
    <row r="34" spans="1:16" s="146" customFormat="1" ht="25.5" customHeight="1" x14ac:dyDescent="0.3">
      <c r="A34" s="516"/>
      <c r="B34" s="450" t="s">
        <v>221</v>
      </c>
      <c r="C34" s="451"/>
      <c r="D34" s="169" t="s">
        <v>203</v>
      </c>
      <c r="E34" s="187">
        <v>6.0199999999999997E-2</v>
      </c>
      <c r="F34" s="147"/>
      <c r="G34" s="450" t="s">
        <v>222</v>
      </c>
      <c r="H34" s="451"/>
      <c r="I34" s="169" t="s">
        <v>203</v>
      </c>
      <c r="J34" s="189">
        <v>8.0199999999999994E-2</v>
      </c>
      <c r="K34" s="147"/>
      <c r="L34" s="450" t="s">
        <v>213</v>
      </c>
      <c r="M34" s="451"/>
      <c r="N34" s="169" t="s">
        <v>203</v>
      </c>
      <c r="O34" s="189">
        <v>7.7700000000000005E-2</v>
      </c>
      <c r="P34" s="8"/>
    </row>
    <row r="35" spans="1:16" s="146" customFormat="1" ht="25.5" customHeight="1" x14ac:dyDescent="0.3">
      <c r="A35" s="516"/>
      <c r="B35" s="450" t="s">
        <v>223</v>
      </c>
      <c r="C35" s="451"/>
      <c r="D35" s="169" t="s">
        <v>203</v>
      </c>
      <c r="E35" s="187">
        <v>6.0100000000000001E-2</v>
      </c>
      <c r="F35" s="147"/>
      <c r="G35" s="450" t="s">
        <v>217</v>
      </c>
      <c r="H35" s="451"/>
      <c r="I35" s="169" t="s">
        <v>218</v>
      </c>
      <c r="J35" s="189">
        <v>7.2800000000000004E-2</v>
      </c>
      <c r="K35" s="147"/>
      <c r="L35" s="450" t="s">
        <v>224</v>
      </c>
      <c r="M35" s="451"/>
      <c r="N35" s="169" t="s">
        <v>205</v>
      </c>
      <c r="O35" s="189">
        <v>5.1400000000000001E-2</v>
      </c>
      <c r="P35" s="8"/>
    </row>
    <row r="36" spans="1:16" s="146" customFormat="1" ht="29.25" customHeight="1" x14ac:dyDescent="0.3">
      <c r="A36" s="516"/>
      <c r="B36" s="450" t="s">
        <v>225</v>
      </c>
      <c r="C36" s="451"/>
      <c r="D36" s="169" t="s">
        <v>203</v>
      </c>
      <c r="E36" s="187">
        <v>6.0100000000000001E-2</v>
      </c>
      <c r="F36" s="147"/>
      <c r="G36" s="450" t="s">
        <v>226</v>
      </c>
      <c r="H36" s="451"/>
      <c r="I36" s="169" t="s">
        <v>209</v>
      </c>
      <c r="J36" s="189">
        <v>6.9800000000000001E-2</v>
      </c>
      <c r="K36" s="147"/>
      <c r="L36" s="450" t="s">
        <v>227</v>
      </c>
      <c r="M36" s="451"/>
      <c r="N36" s="169" t="s">
        <v>205</v>
      </c>
      <c r="O36" s="189">
        <v>5.11E-2</v>
      </c>
      <c r="P36" s="30"/>
    </row>
    <row r="37" spans="1:16" s="146" customFormat="1" ht="30" customHeight="1" x14ac:dyDescent="0.3">
      <c r="A37" s="446"/>
      <c r="B37" s="450" t="s">
        <v>228</v>
      </c>
      <c r="C37" s="451"/>
      <c r="D37" s="169" t="s">
        <v>209</v>
      </c>
      <c r="E37" s="187">
        <v>5.9700000000000003E-2</v>
      </c>
      <c r="F37" s="147"/>
      <c r="G37" s="450" t="s">
        <v>229</v>
      </c>
      <c r="H37" s="451"/>
      <c r="I37" s="169" t="s">
        <v>209</v>
      </c>
      <c r="J37" s="189">
        <v>6.9699999999999998E-2</v>
      </c>
      <c r="K37" s="147"/>
      <c r="L37" s="450" t="s">
        <v>230</v>
      </c>
      <c r="M37" s="451"/>
      <c r="N37" s="169" t="s">
        <v>209</v>
      </c>
      <c r="O37" s="189">
        <v>3.9600000000000003E-2</v>
      </c>
      <c r="P37" s="24"/>
    </row>
    <row r="38" spans="1:16" s="146" customFormat="1" x14ac:dyDescent="0.3">
      <c r="A38" s="4"/>
      <c r="B38" s="514" t="s">
        <v>5</v>
      </c>
      <c r="C38" s="517"/>
      <c r="D38" s="515"/>
      <c r="E38" s="188">
        <f>SUM(E28:E37)</f>
        <v>0.77660000000000007</v>
      </c>
      <c r="F38" s="30"/>
      <c r="G38" s="412" t="s">
        <v>5</v>
      </c>
      <c r="H38" s="412"/>
      <c r="I38" s="412"/>
      <c r="J38" s="188">
        <f>SUM(J28:J37)</f>
        <v>0.81959999999999988</v>
      </c>
      <c r="K38" s="30"/>
      <c r="L38" s="412" t="s">
        <v>5</v>
      </c>
      <c r="M38" s="412"/>
      <c r="N38" s="412"/>
      <c r="O38" s="188">
        <f>SUM(O28:O37)</f>
        <v>0.78150000000000008</v>
      </c>
      <c r="P38" s="170"/>
    </row>
    <row r="39" spans="1:16" s="146" customFormat="1" x14ac:dyDescent="0.3">
      <c r="A39" s="4"/>
      <c r="B39" s="416"/>
      <c r="C39" s="518"/>
      <c r="D39" s="518"/>
      <c r="E39" s="519"/>
      <c r="F39" s="150"/>
      <c r="G39" s="416"/>
      <c r="H39" s="518"/>
      <c r="I39" s="518"/>
      <c r="J39" s="519"/>
      <c r="K39" s="150"/>
      <c r="L39" s="416"/>
      <c r="M39" s="518"/>
      <c r="N39" s="518"/>
      <c r="O39" s="519"/>
      <c r="P39" s="24"/>
    </row>
    <row r="40" spans="1:16" s="146" customFormat="1" x14ac:dyDescent="0.3">
      <c r="A40" s="3" t="s">
        <v>38</v>
      </c>
      <c r="B40" s="410">
        <v>84.65</v>
      </c>
      <c r="C40" s="512"/>
      <c r="D40" s="512"/>
      <c r="E40" s="513"/>
      <c r="F40" s="171"/>
      <c r="G40" s="410">
        <v>28.85</v>
      </c>
      <c r="H40" s="512"/>
      <c r="I40" s="512"/>
      <c r="J40" s="513"/>
      <c r="K40" s="171"/>
      <c r="L40" s="410">
        <v>129.62</v>
      </c>
      <c r="M40" s="512"/>
      <c r="N40" s="512"/>
      <c r="O40" s="513"/>
      <c r="P40" s="24"/>
    </row>
    <row r="41" spans="1:16" s="173" customFormat="1" x14ac:dyDescent="0.3">
      <c r="A41" s="4"/>
      <c r="B41" s="416"/>
      <c r="C41" s="518"/>
      <c r="D41" s="518"/>
      <c r="E41" s="519"/>
      <c r="F41" s="150"/>
      <c r="G41" s="416"/>
      <c r="H41" s="518"/>
      <c r="I41" s="518"/>
      <c r="J41" s="519"/>
      <c r="K41" s="150"/>
      <c r="L41" s="416"/>
      <c r="M41" s="518"/>
      <c r="N41" s="518"/>
      <c r="O41" s="519"/>
      <c r="P41" s="172"/>
    </row>
    <row r="42" spans="1:16" s="173" customFormat="1" x14ac:dyDescent="0.3">
      <c r="A42" s="3" t="s">
        <v>39</v>
      </c>
      <c r="B42" s="416"/>
      <c r="C42" s="518"/>
      <c r="D42" s="518"/>
      <c r="E42" s="519"/>
      <c r="F42" s="174"/>
      <c r="G42" s="416"/>
      <c r="H42" s="518"/>
      <c r="I42" s="518"/>
      <c r="J42" s="519"/>
      <c r="K42" s="174"/>
      <c r="L42" s="416"/>
      <c r="M42" s="518"/>
      <c r="N42" s="518"/>
      <c r="O42" s="519"/>
      <c r="P42" s="172"/>
    </row>
    <row r="43" spans="1:16" s="173" customFormat="1" x14ac:dyDescent="0.3">
      <c r="A43" s="4" t="s">
        <v>24</v>
      </c>
      <c r="B43" s="378">
        <v>6.9999999999999999E-4</v>
      </c>
      <c r="C43" s="425"/>
      <c r="D43" s="425"/>
      <c r="E43" s="447"/>
      <c r="F43" s="175"/>
      <c r="G43" s="378">
        <v>8.9999999999999998E-4</v>
      </c>
      <c r="H43" s="425"/>
      <c r="I43" s="425"/>
      <c r="J43" s="447"/>
      <c r="K43" s="175"/>
      <c r="L43" s="378">
        <v>3.0000000000000001E-3</v>
      </c>
      <c r="M43" s="425"/>
      <c r="N43" s="425"/>
      <c r="O43" s="447"/>
      <c r="P43" s="176"/>
    </row>
    <row r="44" spans="1:16" s="173" customFormat="1" x14ac:dyDescent="0.3">
      <c r="A44" s="4" t="s">
        <v>6</v>
      </c>
      <c r="B44" s="378">
        <v>6.9999999999999999E-4</v>
      </c>
      <c r="C44" s="425"/>
      <c r="D44" s="425"/>
      <c r="E44" s="447"/>
      <c r="F44" s="175"/>
      <c r="G44" s="378">
        <v>8.9999999999999998E-4</v>
      </c>
      <c r="H44" s="425"/>
      <c r="I44" s="425"/>
      <c r="J44" s="447"/>
      <c r="K44" s="175"/>
      <c r="L44" s="378">
        <v>6.9999999999999999E-4</v>
      </c>
      <c r="M44" s="425"/>
      <c r="N44" s="425"/>
      <c r="O44" s="447"/>
      <c r="P44" s="176"/>
    </row>
    <row r="45" spans="1:16" s="179" customFormat="1" ht="240" customHeight="1" x14ac:dyDescent="0.3">
      <c r="A45" s="177" t="s">
        <v>41</v>
      </c>
      <c r="B45" s="521"/>
      <c r="C45" s="521"/>
      <c r="D45" s="521"/>
      <c r="E45" s="521"/>
      <c r="F45" s="178"/>
      <c r="G45" s="521"/>
      <c r="H45" s="521"/>
      <c r="I45" s="521"/>
      <c r="J45" s="521"/>
      <c r="K45" s="178"/>
      <c r="L45" s="521"/>
      <c r="M45" s="521"/>
      <c r="N45" s="521"/>
      <c r="O45" s="521"/>
      <c r="P45" s="44"/>
    </row>
    <row r="46" spans="1:16" s="18" customFormat="1" x14ac:dyDescent="0.3">
      <c r="A46" s="180" t="s">
        <v>42</v>
      </c>
      <c r="B46" s="181"/>
      <c r="C46" s="181"/>
      <c r="D46" s="181"/>
      <c r="E46" s="181"/>
      <c r="F46" s="182"/>
      <c r="G46" s="181"/>
      <c r="H46" s="181"/>
      <c r="I46" s="181"/>
      <c r="J46" s="181"/>
      <c r="K46" s="182"/>
      <c r="L46" s="181"/>
      <c r="M46" s="181"/>
      <c r="N46" s="181"/>
      <c r="O46" s="181"/>
      <c r="P46" s="156"/>
    </row>
    <row r="47" spans="1:16" s="18" customFormat="1" ht="173.25" customHeight="1" x14ac:dyDescent="0.3">
      <c r="A47" s="183" t="s">
        <v>40</v>
      </c>
      <c r="B47" s="520"/>
      <c r="C47" s="520"/>
      <c r="D47" s="520"/>
      <c r="E47" s="520"/>
      <c r="F47" s="156"/>
      <c r="G47" s="520"/>
      <c r="H47" s="520"/>
      <c r="I47" s="520"/>
      <c r="J47" s="520"/>
      <c r="K47" s="156"/>
      <c r="L47" s="520"/>
      <c r="M47" s="520"/>
      <c r="N47" s="520"/>
      <c r="O47" s="520"/>
      <c r="P47" s="156"/>
    </row>
    <row r="48" spans="1:16" s="15" customFormat="1" ht="149.25" customHeight="1" x14ac:dyDescent="0.3">
      <c r="A48" s="3" t="s">
        <v>43</v>
      </c>
      <c r="B48" s="376"/>
      <c r="C48" s="376"/>
      <c r="D48" s="376"/>
      <c r="E48" s="376"/>
      <c r="F48" s="16"/>
      <c r="G48" s="376"/>
      <c r="H48" s="376"/>
      <c r="I48" s="376"/>
      <c r="J48" s="376"/>
      <c r="K48" s="16"/>
      <c r="L48" s="376"/>
      <c r="M48" s="376"/>
      <c r="N48" s="376"/>
      <c r="O48" s="376"/>
      <c r="P48" s="192"/>
    </row>
    <row r="49" spans="1:15" x14ac:dyDescent="0.3">
      <c r="A49" s="180" t="s">
        <v>7</v>
      </c>
      <c r="B49" s="18"/>
      <c r="C49" s="18"/>
      <c r="D49" s="18"/>
      <c r="E49" s="18"/>
      <c r="F49" s="18"/>
      <c r="G49" s="18"/>
      <c r="H49" s="18"/>
      <c r="I49" s="18"/>
      <c r="J49" s="18"/>
      <c r="K49" s="18"/>
      <c r="L49" s="18"/>
      <c r="M49" s="18"/>
      <c r="N49" s="18"/>
      <c r="O49" s="18"/>
    </row>
    <row r="50" spans="1:15" ht="16.2" x14ac:dyDescent="0.3">
      <c r="A50" s="173" t="s">
        <v>8</v>
      </c>
      <c r="B50" s="18"/>
      <c r="C50" s="18"/>
      <c r="D50" s="18"/>
      <c r="E50" s="18"/>
      <c r="F50" s="18"/>
      <c r="G50" s="18"/>
      <c r="H50" s="18"/>
      <c r="I50" s="18"/>
      <c r="J50" s="18"/>
      <c r="K50" s="18"/>
      <c r="L50" s="18"/>
      <c r="M50" s="18"/>
      <c r="N50" s="18"/>
      <c r="O50" s="18"/>
    </row>
    <row r="51" spans="1:15" x14ac:dyDescent="0.3">
      <c r="A51" s="185" t="s">
        <v>231</v>
      </c>
    </row>
    <row r="52" spans="1:15" x14ac:dyDescent="0.3">
      <c r="A52" s="15" t="s">
        <v>32</v>
      </c>
    </row>
  </sheetData>
  <mergeCells count="111">
    <mergeCell ref="B41:E41"/>
    <mergeCell ref="G41:J41"/>
    <mergeCell ref="L41:O41"/>
    <mergeCell ref="B47:E47"/>
    <mergeCell ref="G47:J47"/>
    <mergeCell ref="L47:O47"/>
    <mergeCell ref="B48:E48"/>
    <mergeCell ref="G48:J48"/>
    <mergeCell ref="L48:O48"/>
    <mergeCell ref="B44:E44"/>
    <mergeCell ref="G44:J44"/>
    <mergeCell ref="L44:O44"/>
    <mergeCell ref="B45:E45"/>
    <mergeCell ref="G45:J45"/>
    <mergeCell ref="L45:O45"/>
    <mergeCell ref="B42:E42"/>
    <mergeCell ref="G42:J42"/>
    <mergeCell ref="L42:O42"/>
    <mergeCell ref="B43:E43"/>
    <mergeCell ref="G43:J43"/>
    <mergeCell ref="L43:O43"/>
    <mergeCell ref="B38:D38"/>
    <mergeCell ref="G38:I38"/>
    <mergeCell ref="L38:N38"/>
    <mergeCell ref="B40:E40"/>
    <mergeCell ref="G40:J40"/>
    <mergeCell ref="L40:O40"/>
    <mergeCell ref="B39:E39"/>
    <mergeCell ref="G39:J39"/>
    <mergeCell ref="L39:O39"/>
    <mergeCell ref="L36:M36"/>
    <mergeCell ref="B37:C37"/>
    <mergeCell ref="G37:H37"/>
    <mergeCell ref="L37:M37"/>
    <mergeCell ref="B34:C34"/>
    <mergeCell ref="G34:H34"/>
    <mergeCell ref="L34:M34"/>
    <mergeCell ref="B35:C35"/>
    <mergeCell ref="G35:H35"/>
    <mergeCell ref="L35:M35"/>
    <mergeCell ref="B27:C27"/>
    <mergeCell ref="G27:H27"/>
    <mergeCell ref="L27:M27"/>
    <mergeCell ref="A28:A37"/>
    <mergeCell ref="B28:C28"/>
    <mergeCell ref="G28:H28"/>
    <mergeCell ref="L28:M28"/>
    <mergeCell ref="B29:C29"/>
    <mergeCell ref="G29:H29"/>
    <mergeCell ref="L29:M29"/>
    <mergeCell ref="B32:C32"/>
    <mergeCell ref="G32:H32"/>
    <mergeCell ref="L32:M32"/>
    <mergeCell ref="B33:C33"/>
    <mergeCell ref="G33:H33"/>
    <mergeCell ref="L33:M33"/>
    <mergeCell ref="B30:C30"/>
    <mergeCell ref="G30:H30"/>
    <mergeCell ref="L30:M30"/>
    <mergeCell ref="B31:C31"/>
    <mergeCell ref="G31:H31"/>
    <mergeCell ref="L31:M31"/>
    <mergeCell ref="B36:C36"/>
    <mergeCell ref="G36:H36"/>
    <mergeCell ref="A15:A16"/>
    <mergeCell ref="B15:E15"/>
    <mergeCell ref="G15:J15"/>
    <mergeCell ref="L15:O15"/>
    <mergeCell ref="B21:E21"/>
    <mergeCell ref="G21:J21"/>
    <mergeCell ref="L21:O21"/>
    <mergeCell ref="B14:C14"/>
    <mergeCell ref="D14:E14"/>
    <mergeCell ref="G14:H14"/>
    <mergeCell ref="I14:J14"/>
    <mergeCell ref="L14:M14"/>
    <mergeCell ref="N14:O14"/>
    <mergeCell ref="B11:E11"/>
    <mergeCell ref="G11:J11"/>
    <mergeCell ref="L11:O11"/>
    <mergeCell ref="A12:A13"/>
    <mergeCell ref="B12:C13"/>
    <mergeCell ref="D12:E13"/>
    <mergeCell ref="G12:H13"/>
    <mergeCell ref="I12:J13"/>
    <mergeCell ref="L12:M13"/>
    <mergeCell ref="N12:O13"/>
    <mergeCell ref="B9:E9"/>
    <mergeCell ref="G9:J9"/>
    <mergeCell ref="L9:O9"/>
    <mergeCell ref="B10:E10"/>
    <mergeCell ref="G10:J10"/>
    <mergeCell ref="L10:O10"/>
    <mergeCell ref="B7:E7"/>
    <mergeCell ref="G7:J7"/>
    <mergeCell ref="L7:O7"/>
    <mergeCell ref="B8:E8"/>
    <mergeCell ref="G8:J8"/>
    <mergeCell ref="L8:O8"/>
    <mergeCell ref="B5:E5"/>
    <mergeCell ref="G5:J5"/>
    <mergeCell ref="L5:O5"/>
    <mergeCell ref="B6:E6"/>
    <mergeCell ref="G6:J6"/>
    <mergeCell ref="L6:O6"/>
    <mergeCell ref="A1:O1"/>
    <mergeCell ref="A2:O2"/>
    <mergeCell ref="A3:A4"/>
    <mergeCell ref="B3:E4"/>
    <mergeCell ref="G3:J4"/>
    <mergeCell ref="L3:O4"/>
  </mergeCells>
  <hyperlinks>
    <hyperlink ref="A27" r:id="rId1" display="https://www.invescomutualfund.com/literature-and-form?tab=Complete" xr:uid="{0A7261D3-7D59-41ED-801C-EFFBB3A2ADBD}"/>
  </hyperlinks>
  <pageMargins left="0.7" right="0.7" top="0.75" bottom="0.75" header="0.3" footer="0.3"/>
  <pageSetup paperSize="8" scale="45" fitToWidth="0" orientation="landscape" r:id="rId2"/>
  <drawing r:id="rId3"/>
  <legacyDrawing r:id="rId4"/>
  <oleObjects>
    <mc:AlternateContent xmlns:mc="http://schemas.openxmlformats.org/markup-compatibility/2006">
      <mc:Choice Requires="x14">
        <oleObject progId="Document" shapeId="2049" r:id="rId5">
          <objectPr defaultSize="0" r:id="rId6">
            <anchor moveWithCells="1">
              <from>
                <xdr:col>1</xdr:col>
                <xdr:colOff>60960</xdr:colOff>
                <xdr:row>44</xdr:row>
                <xdr:rowOff>60960</xdr:rowOff>
              </from>
              <to>
                <xdr:col>4</xdr:col>
                <xdr:colOff>1143000</xdr:colOff>
                <xdr:row>44</xdr:row>
                <xdr:rowOff>1112520</xdr:rowOff>
              </to>
            </anchor>
          </objectPr>
        </oleObject>
      </mc:Choice>
      <mc:Fallback>
        <oleObject progId="Document" shapeId="2049" r:id="rId5"/>
      </mc:Fallback>
    </mc:AlternateContent>
    <mc:AlternateContent xmlns:mc="http://schemas.openxmlformats.org/markup-compatibility/2006">
      <mc:Choice Requires="x14">
        <oleObject progId="Document" shapeId="2050" r:id="rId7">
          <objectPr defaultSize="0" r:id="rId8">
            <anchor moveWithCells="1">
              <from>
                <xdr:col>6</xdr:col>
                <xdr:colOff>60960</xdr:colOff>
                <xdr:row>44</xdr:row>
                <xdr:rowOff>60960</xdr:rowOff>
              </from>
              <to>
                <xdr:col>9</xdr:col>
                <xdr:colOff>1143000</xdr:colOff>
                <xdr:row>44</xdr:row>
                <xdr:rowOff>1112520</xdr:rowOff>
              </to>
            </anchor>
          </objectPr>
        </oleObject>
      </mc:Choice>
      <mc:Fallback>
        <oleObject progId="Document" shapeId="2050" r:id="rId7"/>
      </mc:Fallback>
    </mc:AlternateContent>
    <mc:AlternateContent xmlns:mc="http://schemas.openxmlformats.org/markup-compatibility/2006">
      <mc:Choice Requires="x14">
        <oleObject progId="Document" shapeId="2051" r:id="rId9">
          <objectPr defaultSize="0" r:id="rId10">
            <anchor moveWithCells="1">
              <from>
                <xdr:col>11</xdr:col>
                <xdr:colOff>60960</xdr:colOff>
                <xdr:row>44</xdr:row>
                <xdr:rowOff>60960</xdr:rowOff>
              </from>
              <to>
                <xdr:col>14</xdr:col>
                <xdr:colOff>1219200</xdr:colOff>
                <xdr:row>44</xdr:row>
                <xdr:rowOff>1112520</xdr:rowOff>
              </to>
            </anchor>
          </objectPr>
        </oleObject>
      </mc:Choice>
      <mc:Fallback>
        <oleObject progId="Document" shapeId="2051" r:id="rId9"/>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6C686-8777-4973-8B26-BE4286ACFC11}">
  <dimension ref="A1:EG49"/>
  <sheetViews>
    <sheetView showGridLines="0" zoomScaleNormal="100" workbookViewId="0"/>
  </sheetViews>
  <sheetFormatPr defaultColWidth="9.109375" defaultRowHeight="14.4" x14ac:dyDescent="0.3"/>
  <cols>
    <col min="1" max="1" width="46.6640625" style="296" customWidth="1"/>
    <col min="2" max="5" width="18.5546875" style="312" customWidth="1"/>
    <col min="6" max="6" width="0.44140625" customWidth="1"/>
    <col min="7" max="9" width="18.5546875" style="296" customWidth="1"/>
    <col min="10" max="10" width="18.5546875" style="312" customWidth="1"/>
    <col min="11" max="11" width="0.44140625" customWidth="1"/>
    <col min="12" max="14" width="18.5546875" style="296" customWidth="1"/>
    <col min="15" max="15" width="18.5546875" style="312" customWidth="1"/>
    <col min="16" max="16" width="0.44140625" customWidth="1"/>
    <col min="17" max="16384" width="9.109375" style="296"/>
  </cols>
  <sheetData>
    <row r="1" spans="1:137" x14ac:dyDescent="0.3">
      <c r="A1" s="314" t="s">
        <v>11</v>
      </c>
      <c r="B1" s="315"/>
      <c r="C1" s="315"/>
      <c r="D1" s="315"/>
      <c r="E1" s="315"/>
      <c r="F1" s="315"/>
      <c r="G1" s="315"/>
      <c r="H1" s="315"/>
      <c r="I1" s="315"/>
      <c r="J1" s="315"/>
      <c r="K1" s="315"/>
      <c r="L1" s="315"/>
      <c r="M1" s="315"/>
      <c r="N1" s="315"/>
      <c r="O1" s="316"/>
      <c r="P1" s="317"/>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5"/>
    </row>
    <row r="2" spans="1:137" s="256" customFormat="1" x14ac:dyDescent="0.3">
      <c r="A2" s="399" t="s">
        <v>44</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1"/>
      <c r="BD2" s="251"/>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4"/>
      <c r="EF2" s="255"/>
    </row>
    <row r="3" spans="1:137" x14ac:dyDescent="0.3">
      <c r="A3" s="457" t="s">
        <v>13</v>
      </c>
      <c r="B3" s="455" t="s">
        <v>460</v>
      </c>
      <c r="C3" s="455"/>
      <c r="D3" s="455"/>
      <c r="E3" s="455"/>
      <c r="F3" s="318"/>
      <c r="G3" s="455" t="s">
        <v>461</v>
      </c>
      <c r="H3" s="455"/>
      <c r="I3" s="455"/>
      <c r="J3" s="455"/>
      <c r="K3" s="318"/>
      <c r="L3" s="455" t="s">
        <v>462</v>
      </c>
      <c r="M3" s="455"/>
      <c r="N3" s="455"/>
      <c r="O3" s="455"/>
      <c r="P3" s="318"/>
    </row>
    <row r="4" spans="1:137" x14ac:dyDescent="0.3">
      <c r="A4" s="458"/>
      <c r="B4" s="455"/>
      <c r="C4" s="455"/>
      <c r="D4" s="455"/>
      <c r="E4" s="455"/>
      <c r="F4" s="318"/>
      <c r="G4" s="455"/>
      <c r="H4" s="455"/>
      <c r="I4" s="455"/>
      <c r="J4" s="455"/>
      <c r="K4" s="318"/>
      <c r="L4" s="455"/>
      <c r="M4" s="455"/>
      <c r="N4" s="455"/>
      <c r="O4" s="455"/>
      <c r="P4" s="318"/>
    </row>
    <row r="5" spans="1:137" s="297" customFormat="1" ht="43.5" customHeight="1" x14ac:dyDescent="0.3">
      <c r="A5" s="258" t="s">
        <v>1</v>
      </c>
      <c r="B5" s="455" t="s">
        <v>440</v>
      </c>
      <c r="C5" s="455"/>
      <c r="D5" s="455"/>
      <c r="E5" s="455"/>
      <c r="F5" s="319"/>
      <c r="G5" s="456" t="s">
        <v>441</v>
      </c>
      <c r="H5" s="456"/>
      <c r="I5" s="456"/>
      <c r="J5" s="456"/>
      <c r="K5" s="319"/>
      <c r="L5" s="456" t="s">
        <v>442</v>
      </c>
      <c r="M5" s="456"/>
      <c r="N5" s="456"/>
      <c r="O5" s="456"/>
      <c r="P5" s="319"/>
    </row>
    <row r="6" spans="1:137" s="297" customFormat="1" x14ac:dyDescent="0.3">
      <c r="A6" s="320" t="s">
        <v>15</v>
      </c>
      <c r="B6" s="488"/>
      <c r="C6" s="468"/>
      <c r="D6" s="468"/>
      <c r="E6" s="469"/>
      <c r="F6" s="319"/>
      <c r="G6" s="468"/>
      <c r="H6" s="468"/>
      <c r="I6" s="468"/>
      <c r="J6" s="469"/>
      <c r="K6" s="319"/>
      <c r="L6" s="468"/>
      <c r="M6" s="468"/>
      <c r="N6" s="468"/>
      <c r="O6" s="469"/>
      <c r="P6" s="319"/>
    </row>
    <row r="7" spans="1:137" s="297" customFormat="1" ht="12.75" customHeight="1" x14ac:dyDescent="0.3">
      <c r="A7" s="259" t="s">
        <v>443</v>
      </c>
      <c r="B7" s="301"/>
      <c r="C7" s="301"/>
      <c r="D7" s="301"/>
      <c r="E7" s="301"/>
      <c r="F7" s="319"/>
      <c r="G7" s="259"/>
      <c r="H7" s="259"/>
      <c r="I7" s="259"/>
      <c r="J7" s="301"/>
      <c r="K7" s="319"/>
      <c r="L7" s="259"/>
      <c r="M7" s="259"/>
      <c r="N7" s="259"/>
      <c r="O7" s="301"/>
      <c r="P7" s="319"/>
    </row>
    <row r="8" spans="1:137" s="297" customFormat="1" x14ac:dyDescent="0.3">
      <c r="A8" s="259" t="s">
        <v>9</v>
      </c>
      <c r="B8" s="522">
        <v>41670</v>
      </c>
      <c r="C8" s="523"/>
      <c r="D8" s="523"/>
      <c r="E8" s="524"/>
      <c r="F8" s="319"/>
      <c r="G8" s="522">
        <v>41764</v>
      </c>
      <c r="H8" s="523"/>
      <c r="I8" s="523"/>
      <c r="J8" s="524"/>
      <c r="K8" s="319"/>
      <c r="L8" s="522">
        <v>44189</v>
      </c>
      <c r="M8" s="523"/>
      <c r="N8" s="523"/>
      <c r="O8" s="524"/>
      <c r="P8" s="319"/>
    </row>
    <row r="9" spans="1:137" s="297" customFormat="1" x14ac:dyDescent="0.3">
      <c r="A9" s="259" t="s">
        <v>0</v>
      </c>
      <c r="B9" s="525"/>
      <c r="C9" s="526"/>
      <c r="D9" s="526"/>
      <c r="E9" s="527"/>
      <c r="F9" s="319"/>
      <c r="G9" s="525"/>
      <c r="H9" s="526"/>
      <c r="I9" s="526"/>
      <c r="J9" s="527"/>
      <c r="K9" s="319"/>
      <c r="L9" s="525"/>
      <c r="M9" s="526"/>
      <c r="N9" s="526"/>
      <c r="O9" s="527"/>
      <c r="P9" s="319"/>
    </row>
    <row r="10" spans="1:137" s="297" customFormat="1" x14ac:dyDescent="0.3">
      <c r="A10" s="258" t="s">
        <v>14</v>
      </c>
      <c r="B10" s="462" t="s">
        <v>47</v>
      </c>
      <c r="C10" s="463"/>
      <c r="D10" s="463"/>
      <c r="E10" s="464"/>
      <c r="F10" s="319"/>
      <c r="G10" s="462" t="s">
        <v>47</v>
      </c>
      <c r="H10" s="463"/>
      <c r="I10" s="463"/>
      <c r="J10" s="464"/>
      <c r="K10" s="319"/>
      <c r="L10" s="462" t="s">
        <v>47</v>
      </c>
      <c r="M10" s="463"/>
      <c r="N10" s="463"/>
      <c r="O10" s="464"/>
      <c r="P10" s="319"/>
    </row>
    <row r="11" spans="1:137" s="297" customFormat="1" ht="95.25" customHeight="1" x14ac:dyDescent="0.3">
      <c r="A11" s="260" t="s">
        <v>192</v>
      </c>
      <c r="B11" s="465" t="s">
        <v>444</v>
      </c>
      <c r="C11" s="466"/>
      <c r="D11" s="466"/>
      <c r="E11" s="467"/>
      <c r="F11" s="319"/>
      <c r="G11" s="465" t="s">
        <v>445</v>
      </c>
      <c r="H11" s="466"/>
      <c r="I11" s="466"/>
      <c r="J11" s="467"/>
      <c r="K11" s="319"/>
      <c r="L11" s="465" t="s">
        <v>446</v>
      </c>
      <c r="M11" s="466"/>
      <c r="N11" s="466"/>
      <c r="O11" s="467"/>
      <c r="P11" s="319"/>
    </row>
    <row r="12" spans="1:137" s="297" customFormat="1" ht="36.75" customHeight="1" x14ac:dyDescent="0.3">
      <c r="A12" s="258" t="s">
        <v>2</v>
      </c>
      <c r="B12" s="455" t="s">
        <v>470</v>
      </c>
      <c r="C12" s="455"/>
      <c r="D12" s="455"/>
      <c r="E12" s="455"/>
      <c r="F12" s="319"/>
      <c r="G12" s="455" t="s">
        <v>447</v>
      </c>
      <c r="H12" s="455"/>
      <c r="I12" s="455"/>
      <c r="J12" s="455"/>
      <c r="K12" s="319"/>
      <c r="L12" s="456" t="s">
        <v>448</v>
      </c>
      <c r="M12" s="455"/>
      <c r="N12" s="455"/>
      <c r="O12" s="455"/>
      <c r="P12" s="319"/>
    </row>
    <row r="13" spans="1:137" s="297" customFormat="1" ht="15" customHeight="1" x14ac:dyDescent="0.3">
      <c r="A13" s="403" t="s">
        <v>3</v>
      </c>
      <c r="B13" s="456" t="s">
        <v>120</v>
      </c>
      <c r="C13" s="456"/>
      <c r="D13" s="456"/>
      <c r="E13" s="456"/>
      <c r="F13" s="321"/>
      <c r="G13" s="528" t="s">
        <v>120</v>
      </c>
      <c r="H13" s="529"/>
      <c r="I13" s="529"/>
      <c r="J13" s="530"/>
      <c r="K13" s="321"/>
      <c r="L13" s="528" t="s">
        <v>120</v>
      </c>
      <c r="M13" s="529"/>
      <c r="N13" s="529" t="s">
        <v>251</v>
      </c>
      <c r="O13" s="530"/>
      <c r="P13" s="321"/>
    </row>
    <row r="14" spans="1:137" s="297" customFormat="1" ht="15" customHeight="1" x14ac:dyDescent="0.3">
      <c r="A14" s="403"/>
      <c r="B14" s="456"/>
      <c r="C14" s="456"/>
      <c r="D14" s="456"/>
      <c r="E14" s="456"/>
      <c r="F14" s="321"/>
      <c r="G14" s="531"/>
      <c r="H14" s="532"/>
      <c r="I14" s="532"/>
      <c r="J14" s="533"/>
      <c r="K14" s="321"/>
      <c r="L14" s="531"/>
      <c r="M14" s="532"/>
      <c r="N14" s="532"/>
      <c r="O14" s="533"/>
      <c r="P14" s="321"/>
    </row>
    <row r="15" spans="1:137" s="297" customFormat="1" x14ac:dyDescent="0.3">
      <c r="A15" s="259" t="s">
        <v>343</v>
      </c>
      <c r="B15" s="455" t="s">
        <v>449</v>
      </c>
      <c r="C15" s="455"/>
      <c r="D15" s="455"/>
      <c r="E15" s="455"/>
      <c r="F15" s="322"/>
      <c r="G15" s="488" t="s">
        <v>450</v>
      </c>
      <c r="H15" s="468"/>
      <c r="I15" s="468"/>
      <c r="J15" s="469"/>
      <c r="K15" s="322"/>
      <c r="L15" s="488" t="s">
        <v>451</v>
      </c>
      <c r="M15" s="468"/>
      <c r="N15" s="468" t="s">
        <v>451</v>
      </c>
      <c r="O15" s="469"/>
      <c r="P15" s="322"/>
    </row>
    <row r="16" spans="1:137" s="284" customFormat="1" ht="19.5" customHeight="1" x14ac:dyDescent="0.3">
      <c r="A16" s="480" t="s">
        <v>260</v>
      </c>
      <c r="B16" s="482" t="s">
        <v>20</v>
      </c>
      <c r="C16" s="483"/>
      <c r="D16" s="483"/>
      <c r="E16" s="484"/>
      <c r="F16" s="323"/>
      <c r="G16" s="482" t="s">
        <v>20</v>
      </c>
      <c r="H16" s="483"/>
      <c r="I16" s="483"/>
      <c r="J16" s="484"/>
      <c r="K16" s="323"/>
      <c r="L16" s="482" t="s">
        <v>34</v>
      </c>
      <c r="M16" s="483"/>
      <c r="N16" s="483"/>
      <c r="O16" s="484"/>
      <c r="P16" s="323"/>
    </row>
    <row r="17" spans="1:16" s="284" customFormat="1" ht="57.6" x14ac:dyDescent="0.3">
      <c r="A17" s="481"/>
      <c r="B17" s="261" t="s">
        <v>9</v>
      </c>
      <c r="C17" s="261" t="s">
        <v>0</v>
      </c>
      <c r="D17" s="261" t="s">
        <v>452</v>
      </c>
      <c r="E17" s="261" t="s">
        <v>189</v>
      </c>
      <c r="F17" s="324"/>
      <c r="G17" s="261" t="s">
        <v>9</v>
      </c>
      <c r="H17" s="261" t="s">
        <v>0</v>
      </c>
      <c r="I17" s="261" t="s">
        <v>453</v>
      </c>
      <c r="J17" s="261" t="s">
        <v>189</v>
      </c>
      <c r="K17" s="324"/>
      <c r="L17" s="261" t="s">
        <v>9</v>
      </c>
      <c r="M17" s="261" t="s">
        <v>0</v>
      </c>
      <c r="N17" s="261" t="s">
        <v>448</v>
      </c>
      <c r="O17" s="261" t="s">
        <v>189</v>
      </c>
      <c r="P17" s="324"/>
    </row>
    <row r="18" spans="1:16" s="284" customFormat="1" x14ac:dyDescent="0.3">
      <c r="A18" s="163" t="s">
        <v>4</v>
      </c>
      <c r="B18" s="263" t="str">
        <f>TEXT(17.3%, "0.00%")</f>
        <v>17.30%</v>
      </c>
      <c r="C18" s="263" t="str">
        <f>TEXT(17.74%, "0.00%")</f>
        <v>17.74%</v>
      </c>
      <c r="D18" s="263" t="str">
        <f>TEXT(14.84%, "0.00%")</f>
        <v>14.84%</v>
      </c>
      <c r="E18" s="263" t="str">
        <f>TEXT(28.5%, "0.00%")</f>
        <v>28.50%</v>
      </c>
      <c r="F18" s="319"/>
      <c r="G18" s="263" t="str">
        <f>TEXT(15.27%, "0.00%")</f>
        <v>15.27%</v>
      </c>
      <c r="H18" s="263" t="str">
        <f>TEXT(16.11%, "0.00%")</f>
        <v>16.11%</v>
      </c>
      <c r="I18" s="263" t="str">
        <f>TEXT(19.21%, "0.00%")</f>
        <v>19.21%</v>
      </c>
      <c r="J18" s="263" t="str">
        <f>TEXT(28.5%, "0.00%")</f>
        <v>28.50%</v>
      </c>
      <c r="K18" s="319"/>
      <c r="L18" s="263" t="str">
        <f>TEXT(-23.13%, "0.00%")</f>
        <v>-23.13%</v>
      </c>
      <c r="M18" s="263" t="str">
        <f>TEXT(-22.28%, "0.00%")</f>
        <v>-22.28%</v>
      </c>
      <c r="N18" s="263" t="str">
        <f>TEXT(11.15%, "0.00%")</f>
        <v>11.15%</v>
      </c>
      <c r="O18" s="263" t="str">
        <f>TEXT(28.5%, "0.00%")</f>
        <v>28.50%</v>
      </c>
      <c r="P18" s="319"/>
    </row>
    <row r="19" spans="1:16" s="284" customFormat="1" x14ac:dyDescent="0.3">
      <c r="A19" s="163" t="s">
        <v>16</v>
      </c>
      <c r="B19" s="263" t="str">
        <f>TEXT(8.12%, "0.00%")</f>
        <v>8.12%</v>
      </c>
      <c r="C19" s="263" t="str">
        <f>TEXT(8.64%, "0.00%")</f>
        <v>8.64%</v>
      </c>
      <c r="D19" s="263" t="str">
        <f>TEXT(12.37%, "0.00%")</f>
        <v>12.37%</v>
      </c>
      <c r="E19" s="263" t="str">
        <f>TEXT(18.35%, "0.00%")</f>
        <v>18.35%</v>
      </c>
      <c r="F19" s="319"/>
      <c r="G19" s="263" t="str">
        <f>TEXT(12.35%, "0.00%")</f>
        <v>12.35%</v>
      </c>
      <c r="H19" s="263" t="str">
        <f>TEXT(13.14%, "0.00%")</f>
        <v>13.14%</v>
      </c>
      <c r="I19" s="263" t="str">
        <f>TEXT(18.48%, "0.00%")</f>
        <v>18.48%</v>
      </c>
      <c r="J19" s="263" t="str">
        <f>TEXT(18.35%, "0.00%")</f>
        <v>18.35%</v>
      </c>
      <c r="K19" s="319"/>
      <c r="L19" s="263" t="s">
        <v>188</v>
      </c>
      <c r="M19" s="263" t="s">
        <v>188</v>
      </c>
      <c r="N19" s="263" t="s">
        <v>188</v>
      </c>
      <c r="O19" s="263" t="s">
        <v>188</v>
      </c>
      <c r="P19" s="319"/>
    </row>
    <row r="20" spans="1:16" s="284" customFormat="1" x14ac:dyDescent="0.3">
      <c r="A20" s="163" t="s">
        <v>17</v>
      </c>
      <c r="B20" s="263" t="str">
        <f>TEXT(6.95%, "0.00%")</f>
        <v>6.95%</v>
      </c>
      <c r="C20" s="263" t="str">
        <f>TEXT(7.76%, "0.00%")</f>
        <v>7.76%</v>
      </c>
      <c r="D20" s="263" t="str">
        <f>TEXT(10.87%, "0.00%")</f>
        <v>10.87%</v>
      </c>
      <c r="E20" s="263" t="str">
        <f>TEXT(16.6%, "0.00%")</f>
        <v>16.60%</v>
      </c>
      <c r="F20" s="319"/>
      <c r="G20" s="263" t="str">
        <f>TEXT(10.02%, "0.00%")</f>
        <v>10.02%</v>
      </c>
      <c r="H20" s="263" t="str">
        <f>TEXT(11.03%, "0.00%")</f>
        <v>11.03%</v>
      </c>
      <c r="I20" s="263" t="str">
        <f>TEXT(15.43%, "0.00%")</f>
        <v>15.43%</v>
      </c>
      <c r="J20" s="263" t="str">
        <f>TEXT(16.6%, "0.00%")</f>
        <v>16.60%</v>
      </c>
      <c r="K20" s="319"/>
      <c r="L20" s="263" t="s">
        <v>188</v>
      </c>
      <c r="M20" s="263" t="s">
        <v>188</v>
      </c>
      <c r="N20" s="263" t="s">
        <v>188</v>
      </c>
      <c r="O20" s="263" t="s">
        <v>188</v>
      </c>
      <c r="P20" s="319"/>
    </row>
    <row r="21" spans="1:16" s="284" customFormat="1" x14ac:dyDescent="0.3">
      <c r="A21" s="163" t="s">
        <v>18</v>
      </c>
      <c r="B21" s="263" t="str">
        <f>TEXT(5.26%, "0.00%")</f>
        <v>5.26%</v>
      </c>
      <c r="C21" s="263" t="str">
        <f>TEXT(6.17%, "0.00%")</f>
        <v>6.17%</v>
      </c>
      <c r="D21" s="263" t="str">
        <f>TEXT(8.65%, "0.00%")</f>
        <v>8.65%</v>
      </c>
      <c r="E21" s="263" t="str">
        <f>TEXT(11.51%, "0.00%")</f>
        <v>11.51%</v>
      </c>
      <c r="F21" s="319"/>
      <c r="G21" s="263" t="str">
        <f>TEXT(8.55%, "0.00%")</f>
        <v>8.55%</v>
      </c>
      <c r="H21" s="263" t="str">
        <f>TEXT(9.65%, "0.00%")</f>
        <v>9.65%</v>
      </c>
      <c r="I21" s="263" t="str">
        <f>TEXT(13.96%, "0.00%")</f>
        <v>13.96%</v>
      </c>
      <c r="J21" s="263" t="str">
        <f>TEXT(11.51%, "0.00%")</f>
        <v>11.51%</v>
      </c>
      <c r="K21" s="319"/>
      <c r="L21" s="263" t="s">
        <v>188</v>
      </c>
      <c r="M21" s="263" t="s">
        <v>188</v>
      </c>
      <c r="N21" s="263" t="s">
        <v>188</v>
      </c>
      <c r="O21" s="263" t="s">
        <v>188</v>
      </c>
      <c r="P21" s="319"/>
    </row>
    <row r="22" spans="1:16" s="284" customFormat="1" x14ac:dyDescent="0.3">
      <c r="A22" s="163" t="s">
        <v>19</v>
      </c>
      <c r="B22" s="263" t="s">
        <v>188</v>
      </c>
      <c r="C22" s="263" t="s">
        <v>188</v>
      </c>
      <c r="D22" s="263" t="s">
        <v>188</v>
      </c>
      <c r="E22" s="263" t="s">
        <v>188</v>
      </c>
      <c r="F22" s="319"/>
      <c r="G22" s="263" t="s">
        <v>188</v>
      </c>
      <c r="H22" s="263" t="s">
        <v>188</v>
      </c>
      <c r="I22" s="263" t="s">
        <v>188</v>
      </c>
      <c r="J22" s="263" t="s">
        <v>188</v>
      </c>
      <c r="K22" s="319"/>
      <c r="L22" s="263" t="s">
        <v>188</v>
      </c>
      <c r="M22" s="263" t="s">
        <v>188</v>
      </c>
      <c r="N22" s="263" t="s">
        <v>188</v>
      </c>
      <c r="O22" s="263" t="s">
        <v>188</v>
      </c>
      <c r="P22" s="319"/>
    </row>
    <row r="23" spans="1:16" s="284" customFormat="1" x14ac:dyDescent="0.3">
      <c r="A23" s="163" t="s">
        <v>22</v>
      </c>
      <c r="B23" s="263" t="str">
        <f>TEXT(3.69%, "0.00%")</f>
        <v>3.69%</v>
      </c>
      <c r="C23" s="263" t="s">
        <v>188</v>
      </c>
      <c r="D23" s="263" t="str">
        <f>TEXT(7.06%, "0.00%")</f>
        <v>7.06%</v>
      </c>
      <c r="E23" s="263" t="str">
        <f>TEXT(15.36%, "0.00%")</f>
        <v>15.36%</v>
      </c>
      <c r="F23" s="319"/>
      <c r="G23" s="263" t="str">
        <f>TEXT(7.62%, "0.00%")</f>
        <v>7.62%</v>
      </c>
      <c r="H23" s="263" t="s">
        <v>188</v>
      </c>
      <c r="I23" s="263" t="str">
        <f>TEXT(13.02%, "0.00%")</f>
        <v>13.02%</v>
      </c>
      <c r="J23" s="263" t="str">
        <f>TEXT(14.48%, "0.00%")</f>
        <v>14.48%</v>
      </c>
      <c r="K23" s="319"/>
      <c r="L23" s="263" t="str">
        <f>TEXT(-17.55%, "0.00%")</f>
        <v>-17.55%</v>
      </c>
      <c r="M23" s="263" t="s">
        <v>188</v>
      </c>
      <c r="N23" s="263" t="str">
        <f>TEXT(10.44%, "0.00%")</f>
        <v>10.44%</v>
      </c>
      <c r="O23" s="263" t="str">
        <f>TEXT(24.74%, "0.00%")</f>
        <v>24.74%</v>
      </c>
      <c r="P23" s="319"/>
    </row>
    <row r="24" spans="1:16" s="284" customFormat="1" x14ac:dyDescent="0.3">
      <c r="A24" s="163" t="s">
        <v>23</v>
      </c>
      <c r="B24" s="263" t="s">
        <v>188</v>
      </c>
      <c r="C24" s="263" t="str">
        <f>TEXT(4.62%, "0.00%")</f>
        <v>4.62%</v>
      </c>
      <c r="D24" s="263" t="str">
        <f>TEXT(7.06%, "0.00%")</f>
        <v>7.06%</v>
      </c>
      <c r="E24" s="263" t="str">
        <f>TEXT(15.36%, "0.00%")</f>
        <v>15.36%</v>
      </c>
      <c r="F24" s="319"/>
      <c r="G24" s="263"/>
      <c r="H24" s="263" t="str">
        <f>TEXT(8.75%, "0.00%")</f>
        <v>8.75%</v>
      </c>
      <c r="I24" s="263" t="str">
        <f>TEXT(13.02%, "0.00%")</f>
        <v>13.02%</v>
      </c>
      <c r="J24" s="263" t="str">
        <f>TEXT(14.48%, "0.00%")</f>
        <v>14.48%</v>
      </c>
      <c r="K24" s="319"/>
      <c r="L24" s="263"/>
      <c r="M24" s="263" t="str">
        <f>TEXT(-16.62%, "0.00%")</f>
        <v>-16.62%</v>
      </c>
      <c r="N24" s="263" t="str">
        <f>TEXT(10.44%, "0.00%")</f>
        <v>10.44%</v>
      </c>
      <c r="O24" s="263" t="str">
        <f>TEXT(24.74%, "0.00%")</f>
        <v>24.74%</v>
      </c>
      <c r="P24" s="319"/>
    </row>
    <row r="25" spans="1:16" s="284" customFormat="1" ht="25.5" customHeight="1" x14ac:dyDescent="0.3">
      <c r="A25" s="163"/>
      <c r="B25" s="485" t="s">
        <v>21</v>
      </c>
      <c r="C25" s="486"/>
      <c r="D25" s="486"/>
      <c r="E25" s="487"/>
      <c r="F25" s="319"/>
      <c r="G25" s="485" t="s">
        <v>21</v>
      </c>
      <c r="H25" s="486"/>
      <c r="I25" s="486"/>
      <c r="J25" s="487"/>
      <c r="K25" s="319"/>
      <c r="L25" s="485" t="s">
        <v>21</v>
      </c>
      <c r="M25" s="486"/>
      <c r="N25" s="486"/>
      <c r="O25" s="487"/>
      <c r="P25" s="319"/>
    </row>
    <row r="26" spans="1:16" s="300" customFormat="1" x14ac:dyDescent="0.3">
      <c r="A26" s="163" t="s">
        <v>4</v>
      </c>
      <c r="B26" s="263" t="str">
        <f>TEXT("11,740", "0,0")</f>
        <v>11,740</v>
      </c>
      <c r="C26" s="263" t="str">
        <f>TEXT("11,785", "0,0")</f>
        <v>11,785</v>
      </c>
      <c r="D26" s="263" t="str">
        <f>TEXT("11,493", "0,0")</f>
        <v>11,493</v>
      </c>
      <c r="E26" s="263" t="str">
        <f>TEXT("12,868", "0,0")</f>
        <v>12,868</v>
      </c>
      <c r="F26" s="325"/>
      <c r="G26" s="263" t="str">
        <f>TEXT("11,536", "0,0")</f>
        <v>11,536</v>
      </c>
      <c r="H26" s="263" t="str">
        <f>TEXT("11,621", "0,0")</f>
        <v>11,621</v>
      </c>
      <c r="I26" s="263" t="str">
        <f>TEXT("11,933", "0,0")</f>
        <v>11,933</v>
      </c>
      <c r="J26" s="263" t="str">
        <f>TEXT("12,868", "0,0")</f>
        <v>12,868</v>
      </c>
      <c r="K26" s="325"/>
      <c r="L26" s="263" t="str">
        <f>TEXT("7,676", "0,0")</f>
        <v>7,676</v>
      </c>
      <c r="M26" s="263" t="str">
        <f>TEXT("7,761", "0,0")</f>
        <v>7,761</v>
      </c>
      <c r="N26" s="263" t="str">
        <f>TEXT("11,122", "0,0")</f>
        <v>11,122</v>
      </c>
      <c r="O26" s="263" t="str">
        <f>TEXT("12,868", "0,0")</f>
        <v>12,868</v>
      </c>
      <c r="P26" s="325"/>
    </row>
    <row r="27" spans="1:16" s="284" customFormat="1" x14ac:dyDescent="0.3">
      <c r="A27" s="163" t="s">
        <v>16</v>
      </c>
      <c r="B27" s="263" t="str">
        <f>TEXT("12,641", "0,0")</f>
        <v>12,641</v>
      </c>
      <c r="C27" s="263" t="str">
        <f>TEXT("12,825", "0,0")</f>
        <v>12,825</v>
      </c>
      <c r="D27" s="263" t="str">
        <f>TEXT("14,195", "0,0")</f>
        <v>14,195</v>
      </c>
      <c r="E27" s="263" t="str">
        <f>TEXT("16,583", "0,0")</f>
        <v>16,583</v>
      </c>
      <c r="F27" s="319"/>
      <c r="G27" s="263" t="str">
        <f>TEXT("14,186", "0,0")</f>
        <v>14,186</v>
      </c>
      <c r="H27" s="263" t="str">
        <f>TEXT("14,487", "0,0")</f>
        <v>14,487</v>
      </c>
      <c r="I27" s="263" t="str">
        <f>TEXT("16,641", "0,0")</f>
        <v>16,641</v>
      </c>
      <c r="J27" s="263" t="str">
        <f>TEXT("16,583", "0,0")</f>
        <v>16,583</v>
      </c>
      <c r="K27" s="319"/>
      <c r="L27" s="263" t="s">
        <v>188</v>
      </c>
      <c r="M27" s="263" t="s">
        <v>188</v>
      </c>
      <c r="N27" s="263" t="s">
        <v>188</v>
      </c>
      <c r="O27" s="263" t="s">
        <v>188</v>
      </c>
      <c r="P27" s="319"/>
    </row>
    <row r="28" spans="1:16" s="284" customFormat="1" x14ac:dyDescent="0.3">
      <c r="A28" s="163" t="s">
        <v>17</v>
      </c>
      <c r="B28" s="263" t="str">
        <f>TEXT("13,994", "0,0")</f>
        <v>13,994</v>
      </c>
      <c r="C28" s="263" t="str">
        <f>TEXT("14,531", "0,0")</f>
        <v>14,531</v>
      </c>
      <c r="D28" s="263" t="str">
        <f>TEXT("16,758", "0,0")</f>
        <v>16,758</v>
      </c>
      <c r="E28" s="263" t="str">
        <f>TEXT("21,557", "0,0")</f>
        <v>21,557</v>
      </c>
      <c r="F28" s="319"/>
      <c r="G28" s="263" t="str">
        <f>TEXT("16,121", "0,0")</f>
        <v>16,121</v>
      </c>
      <c r="H28" s="263" t="str">
        <f>TEXT("16,882", "0,0")</f>
        <v>16,882</v>
      </c>
      <c r="I28" s="263" t="str">
        <f>TEXT("20,498", "0,0")</f>
        <v>20,498</v>
      </c>
      <c r="J28" s="263" t="str">
        <f>TEXT("21,557", "0,0")</f>
        <v>21,557</v>
      </c>
      <c r="K28" s="319"/>
      <c r="L28" s="263" t="s">
        <v>188</v>
      </c>
      <c r="M28" s="263" t="s">
        <v>188</v>
      </c>
      <c r="N28" s="263" t="s">
        <v>188</v>
      </c>
      <c r="O28" s="263" t="s">
        <v>188</v>
      </c>
      <c r="P28" s="319"/>
    </row>
    <row r="29" spans="1:16" s="284" customFormat="1" x14ac:dyDescent="0.3">
      <c r="A29" s="163" t="s">
        <v>18</v>
      </c>
      <c r="B29" s="263" t="str">
        <f>TEXT("14,318", "0,0")</f>
        <v>14,318</v>
      </c>
      <c r="C29" s="263" t="str">
        <f>TEXT("15,209", "0,0")</f>
        <v>15,209</v>
      </c>
      <c r="D29" s="263" t="str">
        <f>TEXT("17,881", "0,0")</f>
        <v>17,881</v>
      </c>
      <c r="E29" s="263" t="str">
        <f>TEXT("21,463", "0,0")</f>
        <v>21,463</v>
      </c>
      <c r="F29" s="325"/>
      <c r="G29" s="263" t="str">
        <f>TEXT("17,765", "0,0")</f>
        <v>17,765</v>
      </c>
      <c r="H29" s="263" t="str">
        <f>TEXT("19,069", "0,0")</f>
        <v>19,069</v>
      </c>
      <c r="I29" s="263" t="str">
        <f>TEXT("24,992", "0,0")</f>
        <v>24,992</v>
      </c>
      <c r="J29" s="263" t="str">
        <f>TEXT("21,463", "0,0")</f>
        <v>21,463</v>
      </c>
      <c r="K29" s="325"/>
      <c r="L29" s="263" t="s">
        <v>188</v>
      </c>
      <c r="M29" s="263" t="s">
        <v>188</v>
      </c>
      <c r="N29" s="263" t="s">
        <v>188</v>
      </c>
      <c r="O29" s="263" t="s">
        <v>188</v>
      </c>
      <c r="P29" s="325"/>
    </row>
    <row r="30" spans="1:16" s="284" customFormat="1" x14ac:dyDescent="0.3">
      <c r="A30" s="163" t="s">
        <v>19</v>
      </c>
      <c r="B30" s="263" t="s">
        <v>188</v>
      </c>
      <c r="C30" s="263" t="s">
        <v>188</v>
      </c>
      <c r="D30" s="263" t="s">
        <v>188</v>
      </c>
      <c r="E30" s="263" t="s">
        <v>188</v>
      </c>
      <c r="F30" s="325"/>
      <c r="G30" s="263" t="s">
        <v>188</v>
      </c>
      <c r="H30" s="263" t="s">
        <v>188</v>
      </c>
      <c r="I30" s="263" t="s">
        <v>188</v>
      </c>
      <c r="J30" s="263" t="s">
        <v>188</v>
      </c>
      <c r="K30" s="325"/>
      <c r="L30" s="263" t="s">
        <v>188</v>
      </c>
      <c r="M30" s="263" t="s">
        <v>188</v>
      </c>
      <c r="N30" s="263" t="s">
        <v>188</v>
      </c>
      <c r="O30" s="263" t="s">
        <v>188</v>
      </c>
      <c r="P30" s="325"/>
    </row>
    <row r="31" spans="1:16" s="284" customFormat="1" x14ac:dyDescent="0.3">
      <c r="A31" s="163" t="s">
        <v>454</v>
      </c>
      <c r="B31" s="263" t="str">
        <f>TEXT("13,366", "0,0")</f>
        <v>13,366</v>
      </c>
      <c r="C31" s="263" t="s">
        <v>188</v>
      </c>
      <c r="D31" s="263" t="str">
        <f>TEXT("17,268", "0,0")</f>
        <v>17,268</v>
      </c>
      <c r="E31" s="263" t="str">
        <f>TEXT("31,392", "0,0")</f>
        <v>31,392</v>
      </c>
      <c r="F31" s="325"/>
      <c r="G31" s="263" t="str">
        <f>TEXT("17,662", "0,0")</f>
        <v>17,662</v>
      </c>
      <c r="H31" s="263" t="s">
        <v>188</v>
      </c>
      <c r="I31" s="263" t="str">
        <f>TEXT("25,822", "0,0")</f>
        <v>25,822</v>
      </c>
      <c r="J31" s="263" t="str">
        <f>TEXT("28,503", "0,0")</f>
        <v>28,503</v>
      </c>
      <c r="K31" s="325"/>
      <c r="L31" s="263" t="str">
        <f>TEXT("8,081", "0,0")</f>
        <v>8,081</v>
      </c>
      <c r="M31" s="263" t="s">
        <v>188</v>
      </c>
      <c r="N31" s="263" t="str">
        <f>TEXT("11,159", "0,0")</f>
        <v>11,159</v>
      </c>
      <c r="O31" s="263" t="str">
        <f>TEXT("12,764", "0,0")</f>
        <v>12,764</v>
      </c>
      <c r="P31" s="325"/>
    </row>
    <row r="32" spans="1:16" s="284" customFormat="1" x14ac:dyDescent="0.3">
      <c r="A32" s="163" t="s">
        <v>23</v>
      </c>
      <c r="B32" s="263" t="s">
        <v>188</v>
      </c>
      <c r="C32" s="263" t="str">
        <f>TEXT("14,358", "0,0")</f>
        <v>14,358</v>
      </c>
      <c r="D32" s="263" t="str">
        <f>TEXT("17,268", "0,0")</f>
        <v>17,268</v>
      </c>
      <c r="E32" s="263" t="str">
        <f>TEXT("31,392", "0,0")</f>
        <v>31,392</v>
      </c>
      <c r="F32" s="319"/>
      <c r="G32" s="263" t="s">
        <v>188</v>
      </c>
      <c r="H32" s="263" t="str">
        <f>TEXT("19,155", "0,0")</f>
        <v>19,155</v>
      </c>
      <c r="I32" s="263" t="str">
        <f>TEXT("25,822", "0,0")</f>
        <v>25,822</v>
      </c>
      <c r="J32" s="263" t="str">
        <f>TEXT("28,503", "0,0")</f>
        <v>28,503</v>
      </c>
      <c r="K32" s="319"/>
      <c r="L32" s="263"/>
      <c r="M32" s="263" t="str">
        <f>TEXT("8,181", "0,0")</f>
        <v>8,181</v>
      </c>
      <c r="N32" s="263" t="str">
        <f>TEXT("11,159", "0,0")</f>
        <v>11,159</v>
      </c>
      <c r="O32" s="263" t="str">
        <f>TEXT("12,764", "0,0")</f>
        <v>12,764</v>
      </c>
      <c r="P32" s="319"/>
    </row>
    <row r="33" spans="1:22" s="297" customFormat="1" ht="35.25" customHeight="1" x14ac:dyDescent="0.3">
      <c r="A33" s="264" t="s">
        <v>359</v>
      </c>
      <c r="B33" s="499" t="s">
        <v>12</v>
      </c>
      <c r="C33" s="534"/>
      <c r="D33" s="500"/>
      <c r="E33" s="326" t="s">
        <v>10</v>
      </c>
      <c r="F33" s="319"/>
      <c r="G33" s="489" t="s">
        <v>12</v>
      </c>
      <c r="H33" s="491"/>
      <c r="I33" s="490"/>
      <c r="J33" s="302" t="s">
        <v>10</v>
      </c>
      <c r="K33" s="319"/>
      <c r="L33" s="489" t="s">
        <v>12</v>
      </c>
      <c r="M33" s="491"/>
      <c r="N33" s="490"/>
      <c r="O33" s="302" t="s">
        <v>10</v>
      </c>
      <c r="P33" s="319"/>
    </row>
    <row r="34" spans="1:22" s="284" customFormat="1" ht="27.75" customHeight="1" x14ac:dyDescent="0.3">
      <c r="A34" s="492"/>
      <c r="B34" s="495" t="s">
        <v>455</v>
      </c>
      <c r="C34" s="535"/>
      <c r="D34" s="496" t="s">
        <v>278</v>
      </c>
      <c r="E34" s="327">
        <v>0.95489999999999997</v>
      </c>
      <c r="F34" s="322"/>
      <c r="G34" s="495" t="s">
        <v>456</v>
      </c>
      <c r="H34" s="535"/>
      <c r="I34" s="496"/>
      <c r="J34" s="303">
        <v>0.96499999999999997</v>
      </c>
      <c r="K34" s="322"/>
      <c r="L34" s="495" t="s">
        <v>457</v>
      </c>
      <c r="M34" s="535"/>
      <c r="N34" s="496"/>
      <c r="O34" s="303">
        <v>0.97660000000000002</v>
      </c>
      <c r="P34" s="322"/>
    </row>
    <row r="35" spans="1:22" s="284" customFormat="1" ht="15" customHeight="1" x14ac:dyDescent="0.3">
      <c r="A35" s="494"/>
      <c r="B35" s="499" t="s">
        <v>5</v>
      </c>
      <c r="C35" s="534"/>
      <c r="D35" s="500"/>
      <c r="E35" s="304">
        <f>SUM(E34:E34)</f>
        <v>0.95489999999999997</v>
      </c>
      <c r="F35" s="322"/>
      <c r="G35" s="499" t="s">
        <v>5</v>
      </c>
      <c r="H35" s="534"/>
      <c r="I35" s="500"/>
      <c r="J35" s="305">
        <f>SUM(J34:J34)</f>
        <v>0.96499999999999997</v>
      </c>
      <c r="K35" s="322"/>
      <c r="L35" s="499" t="s">
        <v>5</v>
      </c>
      <c r="M35" s="534"/>
      <c r="N35" s="500"/>
      <c r="O35" s="305">
        <f>SUM(O34:O34)</f>
        <v>0.97660000000000002</v>
      </c>
      <c r="P35" s="322"/>
    </row>
    <row r="36" spans="1:22" s="284" customFormat="1" x14ac:dyDescent="0.3">
      <c r="A36" s="163"/>
      <c r="B36" s="477"/>
      <c r="C36" s="478"/>
      <c r="D36" s="478"/>
      <c r="E36" s="479"/>
      <c r="F36" s="319"/>
      <c r="G36" s="477"/>
      <c r="H36" s="478"/>
      <c r="I36" s="478"/>
      <c r="J36" s="479"/>
      <c r="K36" s="319"/>
      <c r="L36" s="477"/>
      <c r="M36" s="478"/>
      <c r="N36" s="478"/>
      <c r="O36" s="479"/>
      <c r="P36" s="319"/>
    </row>
    <row r="37" spans="1:22" s="284" customFormat="1" x14ac:dyDescent="0.3">
      <c r="A37" s="267" t="s">
        <v>38</v>
      </c>
      <c r="B37" s="409">
        <v>51.56</v>
      </c>
      <c r="C37" s="409">
        <v>26.671399999999998</v>
      </c>
      <c r="D37" s="409">
        <v>26.671399999999998</v>
      </c>
      <c r="E37" s="409">
        <v>26.671399999999998</v>
      </c>
      <c r="F37" s="319"/>
      <c r="G37" s="409">
        <v>11.62</v>
      </c>
      <c r="H37" s="409">
        <v>8.7195</v>
      </c>
      <c r="I37" s="409">
        <v>8.7195</v>
      </c>
      <c r="J37" s="409">
        <v>8.7195</v>
      </c>
      <c r="K37" s="319"/>
      <c r="L37" s="409">
        <v>579.04999999999995</v>
      </c>
      <c r="M37" s="409">
        <v>606.81899999999996</v>
      </c>
      <c r="N37" s="409">
        <v>606.81899999999996</v>
      </c>
      <c r="O37" s="409">
        <v>606.81899999999996</v>
      </c>
      <c r="P37" s="319"/>
    </row>
    <row r="38" spans="1:22" s="284" customFormat="1" x14ac:dyDescent="0.3">
      <c r="A38" s="163"/>
      <c r="B38" s="477"/>
      <c r="C38" s="478"/>
      <c r="D38" s="478"/>
      <c r="E38" s="479"/>
      <c r="F38" s="319"/>
      <c r="G38" s="477"/>
      <c r="H38" s="478"/>
      <c r="I38" s="478"/>
      <c r="J38" s="479"/>
      <c r="K38" s="319"/>
      <c r="L38" s="477"/>
      <c r="M38" s="478"/>
      <c r="N38" s="478"/>
      <c r="O38" s="479"/>
      <c r="P38" s="319"/>
    </row>
    <row r="39" spans="1:22" s="284" customFormat="1" x14ac:dyDescent="0.3">
      <c r="A39" s="267" t="s">
        <v>39</v>
      </c>
      <c r="B39" s="477"/>
      <c r="C39" s="478"/>
      <c r="D39" s="478"/>
      <c r="E39" s="479"/>
      <c r="F39" s="319"/>
      <c r="G39" s="477"/>
      <c r="H39" s="478"/>
      <c r="I39" s="478"/>
      <c r="J39" s="479"/>
      <c r="K39" s="319"/>
      <c r="L39" s="477"/>
      <c r="M39" s="478"/>
      <c r="N39" s="478"/>
      <c r="O39" s="479"/>
      <c r="P39" s="319"/>
    </row>
    <row r="40" spans="1:22" s="284" customFormat="1" x14ac:dyDescent="0.3">
      <c r="A40" s="163" t="s">
        <v>24</v>
      </c>
      <c r="B40" s="536">
        <v>9.4000000000000004E-3</v>
      </c>
      <c r="C40" s="537">
        <v>6.7000000000000002E-3</v>
      </c>
      <c r="D40" s="537">
        <v>6.7000000000000002E-3</v>
      </c>
      <c r="E40" s="538">
        <v>6.7000000000000002E-3</v>
      </c>
      <c r="F40" s="319"/>
      <c r="G40" s="536">
        <v>1.38E-2</v>
      </c>
      <c r="H40" s="537">
        <v>1.14E-2</v>
      </c>
      <c r="I40" s="537">
        <v>1.14E-2</v>
      </c>
      <c r="J40" s="538">
        <v>1.14E-2</v>
      </c>
      <c r="K40" s="319"/>
      <c r="L40" s="536">
        <v>1.5599999999999999E-2</v>
      </c>
      <c r="M40" s="537">
        <v>1.5599999999999999E-2</v>
      </c>
      <c r="N40" s="537">
        <v>1.5599999999999999E-2</v>
      </c>
      <c r="O40" s="538">
        <v>1.5599999999999999E-2</v>
      </c>
      <c r="P40" s="319"/>
    </row>
    <row r="41" spans="1:22" s="284" customFormat="1" x14ac:dyDescent="0.3">
      <c r="A41" s="163" t="s">
        <v>6</v>
      </c>
      <c r="B41" s="536">
        <v>5.7000000000000002E-3</v>
      </c>
      <c r="C41" s="537">
        <v>2.8999999999999998E-3</v>
      </c>
      <c r="D41" s="537">
        <v>2.8999999999999998E-3</v>
      </c>
      <c r="E41" s="538">
        <v>2.8999999999999998E-3</v>
      </c>
      <c r="F41" s="319"/>
      <c r="G41" s="536">
        <v>7.3000000000000001E-3</v>
      </c>
      <c r="H41" s="537">
        <v>4.4999999999999997E-3</v>
      </c>
      <c r="I41" s="537">
        <v>4.4999999999999997E-3</v>
      </c>
      <c r="J41" s="538">
        <v>4.4999999999999997E-3</v>
      </c>
      <c r="K41" s="319"/>
      <c r="L41" s="536">
        <v>5.0000000000000001E-3</v>
      </c>
      <c r="M41" s="537">
        <v>5.0000000000000001E-3</v>
      </c>
      <c r="N41" s="537">
        <v>5.0000000000000001E-3</v>
      </c>
      <c r="O41" s="538">
        <v>5.0000000000000001E-3</v>
      </c>
      <c r="P41" s="319"/>
    </row>
    <row r="42" spans="1:22" s="284" customFormat="1" ht="220.5" customHeight="1" x14ac:dyDescent="0.3">
      <c r="A42" s="306" t="s">
        <v>41</v>
      </c>
      <c r="B42" s="307"/>
      <c r="C42" s="307"/>
      <c r="D42" s="307"/>
      <c r="E42" s="307"/>
      <c r="F42" s="323"/>
      <c r="J42" s="307"/>
      <c r="K42" s="323"/>
      <c r="O42" s="307"/>
      <c r="P42" s="323"/>
    </row>
    <row r="43" spans="1:22" s="284" customFormat="1" ht="15" customHeight="1" x14ac:dyDescent="0.3">
      <c r="A43" s="180" t="s">
        <v>42</v>
      </c>
      <c r="B43" s="307"/>
      <c r="C43" s="307"/>
      <c r="D43" s="307"/>
      <c r="E43" s="307"/>
      <c r="F43" s="323"/>
      <c r="J43" s="307"/>
      <c r="K43" s="323"/>
      <c r="O43" s="307"/>
      <c r="P43" s="323"/>
    </row>
    <row r="44" spans="1:22" s="284" customFormat="1" ht="172.5" customHeight="1" x14ac:dyDescent="0.3">
      <c r="A44" s="183" t="s">
        <v>40</v>
      </c>
      <c r="B44" s="310"/>
      <c r="C44" s="310"/>
      <c r="D44" s="310"/>
      <c r="E44" s="310"/>
      <c r="F44" s="328"/>
      <c r="G44" s="308"/>
      <c r="H44" s="308"/>
      <c r="I44" s="308"/>
      <c r="J44" s="310"/>
      <c r="K44" s="328"/>
      <c r="L44" s="308"/>
      <c r="M44" s="308"/>
      <c r="N44" s="308"/>
      <c r="O44" s="310"/>
      <c r="P44" s="328"/>
    </row>
    <row r="45" spans="1:22" s="297" customFormat="1" x14ac:dyDescent="0.3">
      <c r="A45" s="320" t="s">
        <v>7</v>
      </c>
      <c r="B45" s="311"/>
      <c r="C45" s="311"/>
      <c r="D45" s="311"/>
      <c r="E45" s="311"/>
      <c r="F45" s="284"/>
      <c r="J45" s="311"/>
      <c r="K45" s="284"/>
      <c r="O45" s="311"/>
      <c r="P45" s="284"/>
    </row>
    <row r="46" spans="1:22" s="297" customFormat="1" ht="16.2" x14ac:dyDescent="0.3">
      <c r="A46" s="297" t="s">
        <v>412</v>
      </c>
      <c r="B46" s="311"/>
      <c r="C46" s="311"/>
      <c r="D46" s="311"/>
      <c r="E46" s="311"/>
      <c r="F46" s="284"/>
      <c r="J46" s="311"/>
      <c r="K46" s="284"/>
      <c r="O46" s="311"/>
      <c r="P46" s="284"/>
    </row>
    <row r="47" spans="1:22" s="297" customFormat="1" x14ac:dyDescent="0.3">
      <c r="A47" s="313" t="s">
        <v>435</v>
      </c>
      <c r="B47" s="311"/>
      <c r="C47" s="311"/>
      <c r="D47" s="311"/>
      <c r="E47" s="311"/>
      <c r="F47" s="284"/>
      <c r="J47" s="311"/>
      <c r="K47" s="284"/>
      <c r="O47" s="311"/>
      <c r="P47" s="284"/>
    </row>
    <row r="48" spans="1:22" x14ac:dyDescent="0.3">
      <c r="A48" s="427" t="s">
        <v>458</v>
      </c>
      <c r="B48" s="427"/>
      <c r="C48" s="427"/>
      <c r="D48" s="427"/>
      <c r="E48" s="427"/>
      <c r="F48" s="427"/>
      <c r="G48" s="427"/>
      <c r="H48" s="427"/>
      <c r="I48" s="427"/>
      <c r="J48" s="427"/>
      <c r="K48" s="427"/>
      <c r="L48" s="427"/>
      <c r="M48" s="427"/>
      <c r="N48" s="427"/>
      <c r="O48" s="427"/>
      <c r="P48" s="427"/>
      <c r="Q48" s="427"/>
      <c r="R48" s="427"/>
      <c r="S48" s="427"/>
      <c r="T48" s="427"/>
      <c r="U48" s="427"/>
      <c r="V48" s="427"/>
    </row>
    <row r="49" spans="1:21" x14ac:dyDescent="0.3">
      <c r="A49" s="296" t="s">
        <v>459</v>
      </c>
      <c r="B49" s="296"/>
      <c r="C49" s="296"/>
      <c r="J49" s="296"/>
      <c r="O49" s="296"/>
      <c r="U49"/>
    </row>
  </sheetData>
  <mergeCells count="68">
    <mergeCell ref="A48:V48"/>
    <mergeCell ref="B40:E40"/>
    <mergeCell ref="G40:J40"/>
    <mergeCell ref="L40:O40"/>
    <mergeCell ref="B41:E41"/>
    <mergeCell ref="G41:J41"/>
    <mergeCell ref="L41:O41"/>
    <mergeCell ref="B38:E38"/>
    <mergeCell ref="G38:J38"/>
    <mergeCell ref="L38:O38"/>
    <mergeCell ref="B39:E39"/>
    <mergeCell ref="G39:J39"/>
    <mergeCell ref="L39:O39"/>
    <mergeCell ref="B36:E36"/>
    <mergeCell ref="G36:J36"/>
    <mergeCell ref="L36:O36"/>
    <mergeCell ref="B37:E37"/>
    <mergeCell ref="G37:J37"/>
    <mergeCell ref="L37:O37"/>
    <mergeCell ref="A34:A35"/>
    <mergeCell ref="B34:D34"/>
    <mergeCell ref="G34:I34"/>
    <mergeCell ref="L34:N34"/>
    <mergeCell ref="B35:D35"/>
    <mergeCell ref="G35:I35"/>
    <mergeCell ref="L35:N35"/>
    <mergeCell ref="B25:E25"/>
    <mergeCell ref="G25:J25"/>
    <mergeCell ref="L25:O25"/>
    <mergeCell ref="B33:D33"/>
    <mergeCell ref="G33:I33"/>
    <mergeCell ref="L33:N33"/>
    <mergeCell ref="B15:E15"/>
    <mergeCell ref="G15:J15"/>
    <mergeCell ref="L15:M15"/>
    <mergeCell ref="N15:O15"/>
    <mergeCell ref="A16:A17"/>
    <mergeCell ref="B16:E16"/>
    <mergeCell ref="G16:J16"/>
    <mergeCell ref="L16:O16"/>
    <mergeCell ref="B12:E12"/>
    <mergeCell ref="G12:J12"/>
    <mergeCell ref="L12:O12"/>
    <mergeCell ref="A13:A14"/>
    <mergeCell ref="B13:E14"/>
    <mergeCell ref="G13:J14"/>
    <mergeCell ref="L13:M14"/>
    <mergeCell ref="N13:O14"/>
    <mergeCell ref="B10:E10"/>
    <mergeCell ref="G10:J10"/>
    <mergeCell ref="L10:O10"/>
    <mergeCell ref="B11:E11"/>
    <mergeCell ref="G11:J11"/>
    <mergeCell ref="L11:O11"/>
    <mergeCell ref="B6:E6"/>
    <mergeCell ref="G6:J6"/>
    <mergeCell ref="L6:O6"/>
    <mergeCell ref="B8:E9"/>
    <mergeCell ref="G8:J9"/>
    <mergeCell ref="L8:O9"/>
    <mergeCell ref="B5:E5"/>
    <mergeCell ref="G5:J5"/>
    <mergeCell ref="L5:O5"/>
    <mergeCell ref="A2:BC2"/>
    <mergeCell ref="A3:A4"/>
    <mergeCell ref="B3:E4"/>
    <mergeCell ref="G3:J4"/>
    <mergeCell ref="L3:O4"/>
  </mergeCells>
  <hyperlinks>
    <hyperlink ref="A33" r:id="rId1" display="https://www.invescomutualfund.com/literature-and-form?tab=Complete" xr:uid="{B33D5637-073E-4B99-916E-8840DBDCDBDC}"/>
  </hyperlinks>
  <pageMargins left="0.7" right="0.7" top="0.75" bottom="0.75" header="0.3" footer="0.3"/>
  <pageSetup paperSize="8" scale="45" fitToWidth="0" orientation="landscape" r:id="rId2"/>
  <drawing r:id="rId3"/>
  <legacyDrawing r:id="rId4"/>
  <oleObjects>
    <mc:AlternateContent xmlns:mc="http://schemas.openxmlformats.org/markup-compatibility/2006">
      <mc:Choice Requires="x14">
        <oleObject progId="Word.Document.12" shapeId="6145" r:id="rId5">
          <objectPr defaultSize="0" r:id="rId6">
            <anchor moveWithCells="1">
              <from>
                <xdr:col>1</xdr:col>
                <xdr:colOff>274320</xdr:colOff>
                <xdr:row>41</xdr:row>
                <xdr:rowOff>83820</xdr:rowOff>
              </from>
              <to>
                <xdr:col>4</xdr:col>
                <xdr:colOff>990600</xdr:colOff>
                <xdr:row>41</xdr:row>
                <xdr:rowOff>640080</xdr:rowOff>
              </to>
            </anchor>
          </objectPr>
        </oleObject>
      </mc:Choice>
      <mc:Fallback>
        <oleObject progId="Word.Document.12" shapeId="6145" r:id="rId5"/>
      </mc:Fallback>
    </mc:AlternateContent>
    <mc:AlternateContent xmlns:mc="http://schemas.openxmlformats.org/markup-compatibility/2006">
      <mc:Choice Requires="x14">
        <oleObject progId="Word.Document.12" shapeId="6146" r:id="rId7">
          <objectPr defaultSize="0" r:id="rId8">
            <anchor moveWithCells="1">
              <from>
                <xdr:col>6</xdr:col>
                <xdr:colOff>220980</xdr:colOff>
                <xdr:row>41</xdr:row>
                <xdr:rowOff>106680</xdr:rowOff>
              </from>
              <to>
                <xdr:col>9</xdr:col>
                <xdr:colOff>922020</xdr:colOff>
                <xdr:row>41</xdr:row>
                <xdr:rowOff>655320</xdr:rowOff>
              </to>
            </anchor>
          </objectPr>
        </oleObject>
      </mc:Choice>
      <mc:Fallback>
        <oleObject progId="Word.Document.12" shapeId="6146" r:id="rId7"/>
      </mc:Fallback>
    </mc:AlternateContent>
    <mc:AlternateContent xmlns:mc="http://schemas.openxmlformats.org/markup-compatibility/2006">
      <mc:Choice Requires="x14">
        <oleObject progId="Word.Document.12" shapeId="6147" r:id="rId9">
          <objectPr defaultSize="0" r:id="rId10">
            <anchor moveWithCells="1">
              <from>
                <xdr:col>11</xdr:col>
                <xdr:colOff>289560</xdr:colOff>
                <xdr:row>41</xdr:row>
                <xdr:rowOff>99060</xdr:rowOff>
              </from>
              <to>
                <xdr:col>14</xdr:col>
                <xdr:colOff>990600</xdr:colOff>
                <xdr:row>41</xdr:row>
                <xdr:rowOff>647700</xdr:rowOff>
              </to>
            </anchor>
          </objectPr>
        </oleObject>
      </mc:Choice>
      <mc:Fallback>
        <oleObject progId="Word.Document.12" shapeId="6147" r:id="rId9"/>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Equity</vt:lpstr>
      <vt:lpstr>Fixed Income</vt:lpstr>
      <vt:lpstr>Hybrid</vt:lpstr>
      <vt:lpstr>ETF &amp; Onshore FOF</vt:lpstr>
      <vt:lpstr>Fixed Maturity Plans</vt:lpstr>
      <vt:lpstr>Overseas FOF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Ritik Nagalia</dc:creator>
  <cp:lastModifiedBy>Poladia, Bhavik</cp:lastModifiedBy>
  <cp:lastPrinted>2017-04-26T06:34:28Z</cp:lastPrinted>
  <dcterms:created xsi:type="dcterms:W3CDTF">2016-04-26T05:49:57Z</dcterms:created>
  <dcterms:modified xsi:type="dcterms:W3CDTF">2022-02-11T11:33:37Z</dcterms:modified>
</cp:coreProperties>
</file>